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270" windowHeight="7935" tabRatio="599" activeTab="0"/>
  </bookViews>
  <sheets>
    <sheet name="Cost Savings Model" sheetId="1" r:id="rId1"/>
    <sheet name="Engine 1" sheetId="2" state="hidden" r:id="rId2"/>
    <sheet name="Five Yr - Savings" sheetId="3" state="hidden" r:id="rId3"/>
  </sheets>
  <definedNames>
    <definedName name="Active_communication_campaign__6_months_in_adv.__with_Exec._Engagement">#REF!</definedName>
    <definedName name="CostDifferential">'Engine 1'!$A$9:$A$11</definedName>
    <definedName name="Differential">'Engine 1'!$A$9:$A$11</definedName>
    <definedName name="EmployeeOptions">'Engine 1'!$A$5:$A$7</definedName>
    <definedName name="Full_Replacement">#REF!</definedName>
    <definedName name="opa">'Cost Savings Model'!$S$2:$S$4</definedName>
    <definedName name="Options">'Cost Savings Model'!$L$18</definedName>
    <definedName name="_xlnm.Print_Area" localSheetId="0">'Cost Savings Model'!$A$1:$O$38</definedName>
    <definedName name="_xlnm.Print_Area" localSheetId="2">'Five Yr - Savings'!$A$1:$H$66</definedName>
  </definedNames>
  <calcPr fullCalcOnLoad="1"/>
</workbook>
</file>

<file path=xl/sharedStrings.xml><?xml version="1.0" encoding="utf-8"?>
<sst xmlns="http://schemas.openxmlformats.org/spreadsheetml/2006/main" count="137" uniqueCount="103">
  <si>
    <t>High</t>
  </si>
  <si>
    <t>Med</t>
  </si>
  <si>
    <t>Low</t>
  </si>
  <si>
    <t>Value</t>
  </si>
  <si>
    <t xml:space="preserve">Full Replacement </t>
  </si>
  <si>
    <t>Dual Option</t>
  </si>
  <si>
    <t>3+ Options</t>
  </si>
  <si>
    <t>&lt;15% Differential</t>
  </si>
  <si>
    <t>50%+ of Deductible</t>
  </si>
  <si>
    <t>25%-50% of Deductible</t>
  </si>
  <si>
    <t>&lt;25% of Deductible</t>
  </si>
  <si>
    <t>Relative Value</t>
  </si>
  <si>
    <t>30%+ Differential</t>
  </si>
  <si>
    <t>Sample Employer Medical Cost/HSA Savings Projection</t>
  </si>
  <si>
    <t>HSA Cost Trend Projection</t>
  </si>
  <si>
    <t>as of  5-25-10</t>
  </si>
  <si>
    <t>Total Enrolled Employees</t>
  </si>
  <si>
    <t>Average Cost per Employee</t>
  </si>
  <si>
    <t>Current Trend Factor</t>
  </si>
  <si>
    <t>Yr 2 - 5 HSA New Adoption</t>
  </si>
  <si>
    <t>Yr 2 - 5 HSA Trend</t>
  </si>
  <si>
    <t>Average Employer Contribution</t>
  </si>
  <si>
    <t>Average Employee Contributions</t>
  </si>
  <si>
    <t>Average Annual HSA Rollover</t>
  </si>
  <si>
    <t>Avg Employee Tax % (Fed, State, FICA)</t>
  </si>
  <si>
    <t>Annual Account Earnings Rate of Return</t>
  </si>
  <si>
    <t xml:space="preserve">HSA Total Health Plan Savings </t>
  </si>
  <si>
    <t>Totals</t>
  </si>
  <si>
    <t>Total Plan Costs - Status Quo</t>
  </si>
  <si>
    <t>Total # Employees Adopting HSAs</t>
  </si>
  <si>
    <t>Total Employee HSA Adoption %</t>
  </si>
  <si>
    <t>Cost Savings for Yr 1 Adopters</t>
  </si>
  <si>
    <t>Cost Savings for Yr 2 Adopters</t>
  </si>
  <si>
    <t>Cost Savings for Yr 3 Adopters</t>
  </si>
  <si>
    <t>Cost Savings for Yr 4 Adopters</t>
  </si>
  <si>
    <t>Cost Savings for Yr 5 Adopters</t>
  </si>
  <si>
    <t>Employer FICA Savings on EE Contributions</t>
  </si>
  <si>
    <t>Total Plan Savings</t>
  </si>
  <si>
    <t>Employer HSA Contributions</t>
  </si>
  <si>
    <t>Plan Savings Net of HSA Contributions</t>
  </si>
  <si>
    <t>Total Plan Costs - HSA Strategy</t>
  </si>
  <si>
    <t xml:space="preserve">Employee HSA Savings </t>
  </si>
  <si>
    <t>Total HSA Contributions (ER + EE)</t>
  </si>
  <si>
    <t>Employees Total Tax Savings</t>
  </si>
  <si>
    <t>Annual HSA Account Spend</t>
  </si>
  <si>
    <t>Rollover Balance</t>
  </si>
  <si>
    <t>Account Earnings (% growth)</t>
  </si>
  <si>
    <t>Total Year-end HSA Balance</t>
  </si>
  <si>
    <t>Average Employee Account Balance</t>
  </si>
  <si>
    <t>Average Per Employee Cost Analysis</t>
  </si>
  <si>
    <t>Average Expected Cost - w/o Contributions</t>
  </si>
  <si>
    <t>Expected Plan Trend - w/o Contributions</t>
  </si>
  <si>
    <t>Average Expected Cost - with Contributions</t>
  </si>
  <si>
    <t>Expected Plan Trend - with Contributions</t>
  </si>
  <si>
    <t>1) How many plan options do you offer your employees?</t>
  </si>
  <si>
    <t>2) What is the diffential in cost to your employees between the HSA plan and the other options?</t>
  </si>
  <si>
    <t xml:space="preserve">3) What percentage of the deductible are you contributing to your employees HSA? </t>
  </si>
  <si>
    <t>Please answer the following by selecting from the corresponding cell:</t>
  </si>
  <si>
    <t>How many employees do you have eligible for benefits?</t>
  </si>
  <si>
    <t>Please answer the following questions:</t>
  </si>
  <si>
    <t>Year 1</t>
  </si>
  <si>
    <t>Year 2</t>
  </si>
  <si>
    <t>Year 3</t>
  </si>
  <si>
    <t>Year 4</t>
  </si>
  <si>
    <t>Year 5</t>
  </si>
  <si>
    <t>Forecasted Avg Cost Per EE</t>
  </si>
  <si>
    <t>Current Avg Cost Per EE</t>
  </si>
  <si>
    <t>Avg HSA Balance</t>
  </si>
  <si>
    <t>Adoption Forecast</t>
  </si>
  <si>
    <t>HSA Enrollees</t>
  </si>
  <si>
    <t>Non-HSA Enrollees</t>
  </si>
  <si>
    <t>Total Enrolled</t>
  </si>
  <si>
    <t xml:space="preserve">                           % HSA </t>
  </si>
  <si>
    <t xml:space="preserve">Med. </t>
  </si>
  <si>
    <t>Total Enrollment</t>
  </si>
  <si>
    <t>% HSA</t>
  </si>
  <si>
    <t>Average Trend</t>
  </si>
  <si>
    <t>Average Rollover</t>
  </si>
  <si>
    <t>Yr 2-5 HSA Cost Trend</t>
  </si>
  <si>
    <t>Assumptions</t>
  </si>
  <si>
    <t>Avg. EE Tax Rate</t>
  </si>
  <si>
    <t>What do you contribute to your employees' HSA on an annual basis (Avg.)?</t>
  </si>
  <si>
    <t>What is the average contribution  employees make into the HSA on an annual basis (estimate)?</t>
  </si>
  <si>
    <t>Yrs. 2-5 Adoption</t>
  </si>
  <si>
    <t xml:space="preserve">Annual Rate of Return </t>
  </si>
  <si>
    <t>Drop Down Menu Items for Best Practice</t>
  </si>
  <si>
    <t>Enrollment Table</t>
  </si>
  <si>
    <t>Savings Table</t>
  </si>
  <si>
    <t>15%-30% Differential</t>
  </si>
  <si>
    <t>YR5</t>
  </si>
  <si>
    <t>YR4</t>
  </si>
  <si>
    <t>YR3</t>
  </si>
  <si>
    <t>YR2</t>
  </si>
  <si>
    <t>YR1</t>
  </si>
  <si>
    <t>YR0Input &amp; Assumptions</t>
  </si>
  <si>
    <t>YR0</t>
  </si>
  <si>
    <t>Year 1 HSA Adoption</t>
  </si>
  <si>
    <t>If you offer an HSA today, how many employees are enrolled in that option?</t>
  </si>
  <si>
    <t>Yr 1 HSA Cost Reduction</t>
  </si>
  <si>
    <t>What is the percentage of premium differential between the HSA plan and the other option?</t>
  </si>
  <si>
    <t>What was the total amount of your company's medical benefits invoice last month?</t>
  </si>
  <si>
    <t xml:space="preserve">Please take five minutes to answer the questions below to get a better understanding of what your potential savings could be if your company offered the Optima Equity plan. Additionally, the tool illustrates just how much your savings could go up as enrollment increases by maximizing the plan structure.  The last three questions have drop down menus that will help you identify how to get the most out of your program.  PLEASE NOTE: That adustiing the assumptions listed in cells E31-E36, may adjust the ultimate outcome of the model. Optima Health has set the assumptions based upon research and plan information. </t>
  </si>
  <si>
    <t>How many enrolled in your medical program last month?</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</si>
</sst>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409]#,##0_);\([$$-409]#,##0\)"/>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 numFmtId="172" formatCode="[$-409]dddd\,\ mmmm\ dd\,\ yyyy"/>
  </numFmts>
  <fonts count="43">
    <font>
      <sz val="11"/>
      <color indexed="8"/>
      <name val="Calibri"/>
      <family val="2"/>
    </font>
    <font>
      <b/>
      <sz val="11"/>
      <color indexed="8"/>
      <name val="Calibri"/>
      <family val="2"/>
    </font>
    <font>
      <b/>
      <i/>
      <sz val="11"/>
      <color indexed="8"/>
      <name val="Calibri"/>
      <family val="2"/>
    </font>
    <font>
      <b/>
      <sz val="14"/>
      <color indexed="8"/>
      <name val="Calibri"/>
      <family val="2"/>
    </font>
    <font>
      <b/>
      <sz val="12"/>
      <color indexed="8"/>
      <name val="Calibri"/>
      <family val="2"/>
    </font>
    <font>
      <b/>
      <u val="single"/>
      <sz val="12"/>
      <color indexed="8"/>
      <name val="Calibri"/>
      <family val="2"/>
    </font>
    <font>
      <sz val="11"/>
      <name val="Calibri"/>
      <family val="2"/>
    </font>
    <font>
      <sz val="11"/>
      <color indexed="10"/>
      <name val="Calibri"/>
      <family val="2"/>
    </font>
    <font>
      <sz val="12"/>
      <color indexed="8"/>
      <name val="Calibri"/>
      <family val="2"/>
    </font>
    <font>
      <sz val="11"/>
      <color indexed="9"/>
      <name val="Calibri"/>
      <family val="2"/>
    </font>
    <font>
      <b/>
      <sz val="11"/>
      <color indexed="9"/>
      <name val="Calibri"/>
      <family val="2"/>
    </font>
    <font>
      <b/>
      <sz val="11"/>
      <color indexed="10"/>
      <name val="Calibri"/>
      <family val="2"/>
    </font>
    <font>
      <sz val="10"/>
      <color indexed="23"/>
      <name val="Calibri"/>
      <family val="2"/>
    </font>
    <font>
      <b/>
      <u val="single"/>
      <sz val="11"/>
      <color indexed="8"/>
      <name val="Calibri"/>
      <family val="2"/>
    </font>
    <font>
      <b/>
      <u val="single"/>
      <sz val="11"/>
      <name val="Calibri"/>
      <family val="2"/>
    </font>
    <font>
      <sz val="11"/>
      <color indexed="63"/>
      <name val="Calibri"/>
      <family val="2"/>
    </font>
    <font>
      <b/>
      <u val="single"/>
      <sz val="11"/>
      <color indexed="9"/>
      <name val="Calibri"/>
      <family val="2"/>
    </font>
    <font>
      <sz val="8"/>
      <color indexed="63"/>
      <name val="Calibri"/>
      <family val="2"/>
    </font>
    <font>
      <b/>
      <sz val="11"/>
      <name val="Calibri"/>
      <family val="2"/>
    </font>
    <font>
      <b/>
      <u val="single"/>
      <sz val="16"/>
      <color indexed="9"/>
      <name val="Calibri"/>
      <family val="2"/>
    </font>
    <font>
      <b/>
      <sz val="10"/>
      <name val="Calibri"/>
      <family val="2"/>
    </font>
    <font>
      <sz val="10"/>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indexed="8"/>
      <name val="Calibri"/>
      <family val="2"/>
    </font>
    <font>
      <sz val="7.35"/>
      <color indexed="8"/>
      <name val="Calibri"/>
      <family val="2"/>
    </font>
    <font>
      <b/>
      <sz val="14"/>
      <color indexed="9"/>
      <name val="Calibri"/>
      <family val="2"/>
    </font>
    <font>
      <sz val="8"/>
      <color indexed="8"/>
      <name val="Calibri"/>
      <family val="2"/>
    </font>
    <font>
      <sz val="6"/>
      <color indexed="8"/>
      <name val="Calibri"/>
      <family val="2"/>
    </font>
    <font>
      <i/>
      <sz val="9"/>
      <color indexed="20"/>
      <name val="Calibri"/>
      <family val="2"/>
    </font>
    <font>
      <sz val="10"/>
      <color indexed="9"/>
      <name val="Calibri"/>
      <family val="2"/>
    </font>
    <font>
      <b/>
      <sz val="18"/>
      <color indexed="9"/>
      <name val="Calibri"/>
      <family val="2"/>
    </font>
    <font>
      <sz val="9.2"/>
      <color indexed="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indexed="48"/>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
      <left style="thin"/>
      <right style="thin"/>
      <top/>
      <bottom/>
    </border>
    <border>
      <left style="thin"/>
      <right/>
      <top style="thin"/>
      <bottom style="thin"/>
    </border>
    <border>
      <left/>
      <right/>
      <top style="thin"/>
      <bottom style="thin"/>
    </border>
    <border>
      <left style="medium">
        <color indexed="23"/>
      </left>
      <right>
        <color indexed="63"/>
      </right>
      <top style="medium">
        <color indexed="23"/>
      </top>
      <bottom>
        <color indexed="63"/>
      </bottom>
    </border>
    <border>
      <left style="thin"/>
      <right style="medium">
        <color indexed="23"/>
      </right>
      <top style="medium">
        <color indexed="23"/>
      </top>
      <bottom style="thin"/>
    </border>
    <border>
      <left style="medium">
        <color indexed="23"/>
      </left>
      <right>
        <color indexed="63"/>
      </right>
      <top>
        <color indexed="63"/>
      </top>
      <bottom>
        <color indexed="63"/>
      </bottom>
    </border>
    <border>
      <left style="thin"/>
      <right style="medium">
        <color indexed="23"/>
      </right>
      <top style="thin"/>
      <bottom style="thin"/>
    </border>
    <border>
      <left style="medium">
        <color indexed="23"/>
      </left>
      <right>
        <color indexed="63"/>
      </right>
      <top>
        <color indexed="63"/>
      </top>
      <bottom style="medium">
        <color indexed="23"/>
      </bottom>
    </border>
    <border>
      <left style="thin"/>
      <right style="medium">
        <color indexed="23"/>
      </right>
      <top style="thin"/>
      <bottom style="medium">
        <color indexed="23"/>
      </bottom>
    </border>
    <border>
      <left/>
      <right/>
      <top/>
      <bottom style="thin"/>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23"/>
      </right>
      <top>
        <color indexed="6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medium"/>
      <right style="medium"/>
      <top style="medium"/>
      <bottom style="medium"/>
    </border>
    <border>
      <left style="medium">
        <color indexed="23"/>
      </left>
      <right>
        <color indexed="63"/>
      </right>
      <top style="thin">
        <color indexed="23"/>
      </top>
      <bottom>
        <color indexed="63"/>
      </bottom>
    </border>
    <border>
      <left>
        <color indexed="63"/>
      </left>
      <right>
        <color indexed="63"/>
      </right>
      <top style="thin">
        <color indexed="2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1" fillId="0" borderId="9" applyNumberFormat="0" applyFill="0" applyAlignment="0" applyProtection="0"/>
    <xf numFmtId="0" fontId="7" fillId="0" borderId="0" applyNumberFormat="0" applyFill="0" applyBorder="0" applyAlignment="0" applyProtection="0"/>
  </cellStyleXfs>
  <cellXfs count="141">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vertical="center"/>
    </xf>
    <xf numFmtId="0" fontId="4" fillId="8" borderId="0" xfId="0" applyFont="1" applyFill="1" applyAlignment="1">
      <alignment horizontal="center" vertical="center"/>
    </xf>
    <xf numFmtId="0" fontId="5" fillId="22" borderId="0" xfId="0" applyFont="1" applyFill="1" applyAlignment="1">
      <alignment horizontal="center" vertical="center"/>
    </xf>
    <xf numFmtId="0" fontId="4" fillId="22" borderId="0" xfId="0" applyFont="1" applyFill="1" applyAlignment="1">
      <alignment horizontal="center"/>
    </xf>
    <xf numFmtId="0" fontId="4" fillId="0" borderId="0" xfId="0" applyFont="1" applyAlignment="1">
      <alignment horizontal="center"/>
    </xf>
    <xf numFmtId="0" fontId="0" fillId="0" borderId="0" xfId="0" applyFill="1" applyAlignment="1">
      <alignment/>
    </xf>
    <xf numFmtId="3" fontId="2" fillId="4" borderId="10" xfId="0" applyNumberFormat="1" applyFont="1" applyFill="1" applyBorder="1" applyAlignment="1">
      <alignment horizontal="center"/>
    </xf>
    <xf numFmtId="164" fontId="2" fillId="24" borderId="11" xfId="0" applyNumberFormat="1" applyFont="1" applyFill="1" applyBorder="1" applyAlignment="1">
      <alignment horizontal="center"/>
    </xf>
    <xf numFmtId="164" fontId="6" fillId="24" borderId="11" xfId="0" applyNumberFormat="1" applyFont="1" applyFill="1" applyBorder="1" applyAlignment="1">
      <alignment horizontal="center"/>
    </xf>
    <xf numFmtId="165" fontId="2" fillId="24" borderId="11" xfId="0" applyNumberFormat="1" applyFont="1" applyFill="1" applyBorder="1" applyAlignment="1">
      <alignment horizontal="center"/>
    </xf>
    <xf numFmtId="165" fontId="0" fillId="24" borderId="11" xfId="0" applyNumberFormat="1" applyFill="1" applyBorder="1" applyAlignment="1">
      <alignment horizontal="center"/>
    </xf>
    <xf numFmtId="164" fontId="0" fillId="0" borderId="0" xfId="0" applyNumberFormat="1" applyFill="1" applyBorder="1" applyAlignment="1">
      <alignment horizontal="center"/>
    </xf>
    <xf numFmtId="9" fontId="2" fillId="4" borderId="12" xfId="0" applyNumberFormat="1" applyFont="1" applyFill="1" applyBorder="1" applyAlignment="1">
      <alignment horizontal="center"/>
    </xf>
    <xf numFmtId="164" fontId="6" fillId="0" borderId="0" xfId="0" applyNumberFormat="1" applyFont="1" applyAlignment="1">
      <alignment horizontal="center"/>
    </xf>
    <xf numFmtId="164" fontId="7" fillId="0" borderId="0" xfId="0" applyNumberFormat="1" applyFont="1" applyAlignment="1">
      <alignment horizontal="center"/>
    </xf>
    <xf numFmtId="164" fontId="0" fillId="0" borderId="0" xfId="0" applyNumberFormat="1" applyAlignment="1">
      <alignment/>
    </xf>
    <xf numFmtId="9" fontId="2" fillId="5" borderId="11" xfId="0" applyNumberFormat="1" applyFont="1" applyFill="1" applyBorder="1" applyAlignment="1">
      <alignment horizontal="center"/>
    </xf>
    <xf numFmtId="164" fontId="0" fillId="5" borderId="13" xfId="0" applyNumberFormat="1" applyFont="1" applyFill="1" applyBorder="1" applyAlignment="1">
      <alignment horizontal="center"/>
    </xf>
    <xf numFmtId="164" fontId="6" fillId="5" borderId="14" xfId="0" applyNumberFormat="1" applyFont="1" applyFill="1" applyBorder="1" applyAlignment="1">
      <alignment horizontal="center"/>
    </xf>
    <xf numFmtId="165" fontId="2" fillId="5" borderId="11" xfId="0" applyNumberFormat="1" applyFont="1" applyFill="1" applyBorder="1" applyAlignment="1">
      <alignment horizontal="center"/>
    </xf>
    <xf numFmtId="164" fontId="6" fillId="0" borderId="0" xfId="0" applyNumberFormat="1" applyFont="1" applyFill="1" applyAlignment="1">
      <alignment horizontal="center"/>
    </xf>
    <xf numFmtId="164" fontId="0" fillId="5" borderId="14" xfId="0" applyNumberFormat="1" applyFont="1" applyFill="1" applyBorder="1" applyAlignment="1">
      <alignment horizontal="center"/>
    </xf>
    <xf numFmtId="164" fontId="2" fillId="4" borderId="12" xfId="0" applyNumberFormat="1" applyFont="1" applyFill="1" applyBorder="1" applyAlignment="1">
      <alignment horizontal="center"/>
    </xf>
    <xf numFmtId="0" fontId="0" fillId="0" borderId="0" xfId="0" applyFill="1" applyAlignment="1">
      <alignment horizontal="center"/>
    </xf>
    <xf numFmtId="164" fontId="0" fillId="0" borderId="0" xfId="0" applyNumberFormat="1" applyFill="1" applyAlignment="1">
      <alignment horizontal="center"/>
    </xf>
    <xf numFmtId="164" fontId="0" fillId="0" borderId="0" xfId="0" applyNumberFormat="1" applyAlignment="1">
      <alignment horizontal="center"/>
    </xf>
    <xf numFmtId="165"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8" fillId="0" borderId="0" xfId="0" applyFont="1" applyAlignment="1">
      <alignment horizontal="center"/>
    </xf>
    <xf numFmtId="166" fontId="0" fillId="0" borderId="0" xfId="0" applyNumberFormat="1" applyFont="1" applyFill="1" applyBorder="1" applyAlignment="1">
      <alignment/>
    </xf>
    <xf numFmtId="166" fontId="0" fillId="0" borderId="0" xfId="0" applyNumberFormat="1" applyAlignment="1">
      <alignment/>
    </xf>
    <xf numFmtId="166" fontId="0" fillId="0" borderId="0" xfId="0" applyNumberFormat="1" applyAlignment="1">
      <alignment/>
    </xf>
    <xf numFmtId="3" fontId="0" fillId="0" borderId="0" xfId="0" applyNumberFormat="1" applyAlignment="1">
      <alignment/>
    </xf>
    <xf numFmtId="9" fontId="0" fillId="0" borderId="0" xfId="59" applyFont="1" applyAlignment="1">
      <alignment/>
    </xf>
    <xf numFmtId="165" fontId="0" fillId="0" borderId="0" xfId="59" applyNumberFormat="1" applyFont="1" applyAlignment="1">
      <alignment/>
    </xf>
    <xf numFmtId="9" fontId="0" fillId="0" borderId="0" xfId="0" applyNumberFormat="1" applyAlignment="1">
      <alignment/>
    </xf>
    <xf numFmtId="164" fontId="0" fillId="0" borderId="0" xfId="46" applyNumberFormat="1" applyFont="1" applyAlignment="1">
      <alignment/>
    </xf>
    <xf numFmtId="164" fontId="6" fillId="5" borderId="0" xfId="46" applyNumberFormat="1" applyFont="1" applyFill="1" applyAlignment="1">
      <alignment/>
    </xf>
    <xf numFmtId="164" fontId="6" fillId="0" borderId="0" xfId="0" applyNumberFormat="1" applyFont="1" applyAlignment="1">
      <alignment/>
    </xf>
    <xf numFmtId="164" fontId="0" fillId="5" borderId="0" xfId="46" applyNumberFormat="1" applyFont="1" applyFill="1" applyAlignment="1">
      <alignment/>
    </xf>
    <xf numFmtId="0" fontId="1" fillId="0" borderId="0" xfId="0" applyFont="1" applyAlignment="1">
      <alignment/>
    </xf>
    <xf numFmtId="164" fontId="0" fillId="0" borderId="0" xfId="0" applyNumberFormat="1" applyFont="1" applyAlignment="1">
      <alignment/>
    </xf>
    <xf numFmtId="164" fontId="0" fillId="8" borderId="0" xfId="0" applyNumberFormat="1" applyFont="1" applyFill="1" applyAlignment="1">
      <alignment/>
    </xf>
    <xf numFmtId="164" fontId="1" fillId="5" borderId="0" xfId="0" applyNumberFormat="1" applyFont="1" applyFill="1" applyAlignment="1">
      <alignment/>
    </xf>
    <xf numFmtId="164" fontId="0" fillId="0" borderId="0" xfId="0" applyNumberFormat="1" applyFill="1" applyAlignment="1">
      <alignment/>
    </xf>
    <xf numFmtId="0" fontId="0" fillId="0" borderId="0" xfId="0" applyAlignment="1">
      <alignment horizontal="left" vertical="top"/>
    </xf>
    <xf numFmtId="164" fontId="1" fillId="25" borderId="0" xfId="0" applyNumberFormat="1" applyFont="1" applyFill="1" applyAlignment="1">
      <alignment/>
    </xf>
    <xf numFmtId="10" fontId="0" fillId="26" borderId="0" xfId="0" applyNumberFormat="1" applyFill="1" applyAlignment="1">
      <alignment/>
    </xf>
    <xf numFmtId="0" fontId="0" fillId="0" borderId="0" xfId="0" applyFont="1" applyAlignment="1">
      <alignment/>
    </xf>
    <xf numFmtId="10" fontId="1" fillId="5" borderId="0" xfId="0" applyNumberFormat="1" applyFont="1" applyFill="1" applyAlignment="1">
      <alignment/>
    </xf>
    <xf numFmtId="9" fontId="0" fillId="20" borderId="11" xfId="0" applyNumberFormat="1" applyFill="1" applyBorder="1" applyAlignment="1">
      <alignment horizontal="center"/>
    </xf>
    <xf numFmtId="0" fontId="12" fillId="23" borderId="0" xfId="0" applyFont="1" applyFill="1" applyBorder="1" applyAlignment="1">
      <alignment/>
    </xf>
    <xf numFmtId="0" fontId="6" fillId="0" borderId="0" xfId="0" applyFont="1" applyBorder="1" applyAlignment="1">
      <alignment/>
    </xf>
    <xf numFmtId="0" fontId="6" fillId="0" borderId="0" xfId="0" applyFont="1" applyBorder="1" applyAlignment="1">
      <alignment horizontal="left"/>
    </xf>
    <xf numFmtId="0" fontId="0" fillId="12" borderId="0" xfId="0" applyFill="1" applyBorder="1" applyAlignment="1">
      <alignment/>
    </xf>
    <xf numFmtId="0" fontId="0" fillId="23" borderId="0" xfId="0" applyFill="1" applyBorder="1" applyAlignment="1">
      <alignment/>
    </xf>
    <xf numFmtId="0" fontId="13" fillId="0" borderId="0" xfId="0" applyFont="1" applyAlignment="1">
      <alignment/>
    </xf>
    <xf numFmtId="0" fontId="14" fillId="0" borderId="0" xfId="0" applyFont="1" applyFill="1" applyBorder="1" applyAlignment="1" applyProtection="1">
      <alignment horizontal="left"/>
      <protection locked="0"/>
    </xf>
    <xf numFmtId="0" fontId="14" fillId="0" borderId="0" xfId="0" applyFont="1" applyFill="1" applyBorder="1" applyAlignment="1">
      <alignment/>
    </xf>
    <xf numFmtId="0" fontId="0" fillId="0" borderId="15" xfId="0" applyBorder="1" applyAlignment="1">
      <alignment/>
    </xf>
    <xf numFmtId="0" fontId="11" fillId="4" borderId="16" xfId="0" applyFont="1" applyFill="1" applyBorder="1" applyAlignment="1" applyProtection="1">
      <alignment horizontal="center"/>
      <protection locked="0"/>
    </xf>
    <xf numFmtId="0" fontId="6" fillId="0" borderId="17" xfId="0" applyFont="1" applyBorder="1" applyAlignment="1" applyProtection="1">
      <alignment horizontal="left"/>
      <protection locked="0"/>
    </xf>
    <xf numFmtId="2" fontId="7" fillId="0" borderId="18" xfId="0" applyNumberFormat="1" applyFont="1" applyBorder="1" applyAlignment="1" applyProtection="1">
      <alignment horizontal="center"/>
      <protection locked="0"/>
    </xf>
    <xf numFmtId="0" fontId="6" fillId="0" borderId="19" xfId="0" applyFont="1" applyBorder="1" applyAlignment="1" applyProtection="1">
      <alignment horizontal="left"/>
      <protection locked="0"/>
    </xf>
    <xf numFmtId="2" fontId="7" fillId="0" borderId="20" xfId="0" applyNumberFormat="1" applyFont="1" applyBorder="1" applyAlignment="1" applyProtection="1">
      <alignment horizontal="center"/>
      <protection locked="0"/>
    </xf>
    <xf numFmtId="0" fontId="6" fillId="0" borderId="15" xfId="0" applyFont="1" applyBorder="1" applyAlignment="1">
      <alignment horizontal="left"/>
    </xf>
    <xf numFmtId="0" fontId="6" fillId="0" borderId="17" xfId="0" applyFont="1" applyFill="1" applyBorder="1" applyAlignment="1" applyProtection="1">
      <alignment horizontal="left"/>
      <protection locked="0"/>
    </xf>
    <xf numFmtId="1" fontId="15" fillId="0" borderId="0" xfId="0" applyNumberFormat="1" applyFont="1" applyAlignment="1" applyProtection="1">
      <alignment horizontal="center"/>
      <protection locked="0"/>
    </xf>
    <xf numFmtId="0" fontId="6" fillId="0" borderId="0" xfId="0" applyFont="1" applyBorder="1" applyAlignment="1">
      <alignment horizontal="center"/>
    </xf>
    <xf numFmtId="1" fontId="6" fillId="0" borderId="0" xfId="0" applyNumberFormat="1" applyFont="1" applyBorder="1" applyAlignment="1">
      <alignment horizontal="center"/>
    </xf>
    <xf numFmtId="9" fontId="6" fillId="0" borderId="0" xfId="58" applyFont="1" applyBorder="1" applyAlignment="1">
      <alignment horizontal="center"/>
    </xf>
    <xf numFmtId="1" fontId="0" fillId="20" borderId="11" xfId="0" applyNumberFormat="1" applyFill="1" applyBorder="1" applyAlignment="1">
      <alignment horizontal="center"/>
    </xf>
    <xf numFmtId="0" fontId="1" fillId="22" borderId="21" xfId="0" applyFont="1" applyFill="1" applyBorder="1" applyAlignment="1">
      <alignment horizontal="center" vertical="center" wrapText="1"/>
    </xf>
    <xf numFmtId="0" fontId="6" fillId="0" borderId="0" xfId="0" applyFont="1" applyAlignment="1">
      <alignment horizontal="center"/>
    </xf>
    <xf numFmtId="5" fontId="6" fillId="0" borderId="0" xfId="44" applyNumberFormat="1" applyFont="1" applyBorder="1" applyAlignment="1">
      <alignment horizontal="center"/>
    </xf>
    <xf numFmtId="164" fontId="6" fillId="0" borderId="0" xfId="0" applyNumberFormat="1" applyFont="1" applyBorder="1" applyAlignment="1">
      <alignment horizontal="center"/>
    </xf>
    <xf numFmtId="164" fontId="6" fillId="0" borderId="0" xfId="0" applyNumberFormat="1" applyFont="1" applyAlignment="1">
      <alignment horizontal="center"/>
    </xf>
    <xf numFmtId="0" fontId="0" fillId="23" borderId="15" xfId="0" applyFill="1" applyBorder="1" applyAlignment="1">
      <alignment/>
    </xf>
    <xf numFmtId="0" fontId="0" fillId="23" borderId="22" xfId="0" applyFill="1" applyBorder="1" applyAlignment="1">
      <alignment/>
    </xf>
    <xf numFmtId="0" fontId="0" fillId="23" borderId="23" xfId="0" applyFill="1" applyBorder="1" applyAlignment="1">
      <alignment/>
    </xf>
    <xf numFmtId="0" fontId="0" fillId="23" borderId="17" xfId="0" applyFill="1" applyBorder="1" applyAlignment="1">
      <alignment/>
    </xf>
    <xf numFmtId="0" fontId="0" fillId="23" borderId="24" xfId="0" applyFill="1" applyBorder="1" applyAlignment="1">
      <alignment/>
    </xf>
    <xf numFmtId="0" fontId="1" fillId="23" borderId="0" xfId="0" applyFont="1" applyFill="1" applyBorder="1" applyAlignment="1">
      <alignment horizontal="center"/>
    </xf>
    <xf numFmtId="0" fontId="1" fillId="23" borderId="17" xfId="0" applyFont="1" applyFill="1" applyBorder="1" applyAlignment="1">
      <alignment/>
    </xf>
    <xf numFmtId="0" fontId="12" fillId="23" borderId="25" xfId="0" applyFont="1" applyFill="1" applyBorder="1" applyAlignment="1">
      <alignment/>
    </xf>
    <xf numFmtId="0" fontId="0" fillId="23" borderId="25" xfId="0" applyFill="1" applyBorder="1" applyAlignment="1">
      <alignment/>
    </xf>
    <xf numFmtId="0" fontId="0" fillId="23" borderId="26" xfId="0" applyFill="1" applyBorder="1" applyAlignment="1">
      <alignment/>
    </xf>
    <xf numFmtId="0" fontId="0" fillId="12" borderId="15" xfId="0" applyFill="1" applyBorder="1" applyAlignment="1">
      <alignment/>
    </xf>
    <xf numFmtId="0" fontId="0" fillId="12" borderId="22" xfId="0" applyFill="1" applyBorder="1" applyAlignment="1">
      <alignment/>
    </xf>
    <xf numFmtId="0" fontId="0" fillId="12" borderId="23" xfId="0" applyFill="1" applyBorder="1" applyAlignment="1">
      <alignment/>
    </xf>
    <xf numFmtId="0" fontId="0" fillId="12" borderId="17" xfId="0" applyFill="1" applyBorder="1" applyAlignment="1">
      <alignment/>
    </xf>
    <xf numFmtId="0" fontId="0" fillId="12" borderId="24" xfId="0" applyFill="1" applyBorder="1" applyAlignment="1">
      <alignment/>
    </xf>
    <xf numFmtId="0" fontId="16" fillId="12" borderId="0" xfId="0" applyFont="1" applyFill="1" applyBorder="1" applyAlignment="1">
      <alignment/>
    </xf>
    <xf numFmtId="0" fontId="10" fillId="12" borderId="0" xfId="0" applyFont="1" applyFill="1" applyBorder="1" applyAlignment="1">
      <alignment/>
    </xf>
    <xf numFmtId="0" fontId="0" fillId="12" borderId="19" xfId="0" applyFill="1" applyBorder="1" applyAlignment="1">
      <alignment/>
    </xf>
    <xf numFmtId="0" fontId="17" fillId="12" borderId="25" xfId="0" applyFont="1" applyFill="1" applyBorder="1" applyAlignment="1">
      <alignment/>
    </xf>
    <xf numFmtId="0" fontId="0" fillId="12" borderId="25" xfId="0" applyFill="1" applyBorder="1" applyAlignment="1">
      <alignment/>
    </xf>
    <xf numFmtId="0" fontId="0" fillId="12" borderId="26" xfId="0" applyFill="1" applyBorder="1" applyAlignment="1">
      <alignment/>
    </xf>
    <xf numFmtId="164" fontId="18" fillId="27" borderId="27" xfId="0" applyNumberFormat="1" applyFont="1" applyFill="1" applyBorder="1" applyAlignment="1">
      <alignment horizontal="center"/>
    </xf>
    <xf numFmtId="0" fontId="10" fillId="12" borderId="27" xfId="0" applyFont="1" applyFill="1" applyBorder="1" applyAlignment="1">
      <alignment/>
    </xf>
    <xf numFmtId="0" fontId="6" fillId="0" borderId="0" xfId="0" applyFont="1" applyAlignment="1">
      <alignment horizontal="left"/>
    </xf>
    <xf numFmtId="0" fontId="6" fillId="0" borderId="0" xfId="0" applyFont="1" applyFill="1" applyBorder="1" applyAlignment="1">
      <alignment horizontal="left"/>
    </xf>
    <xf numFmtId="0" fontId="6" fillId="0" borderId="0" xfId="0" applyFont="1" applyFill="1" applyBorder="1" applyAlignment="1">
      <alignment/>
    </xf>
    <xf numFmtId="0" fontId="18" fillId="0" borderId="0" xfId="0" applyFont="1" applyFill="1" applyBorder="1" applyAlignment="1" applyProtection="1">
      <alignment horizontal="center"/>
      <protection locked="0"/>
    </xf>
    <xf numFmtId="0" fontId="6" fillId="0" borderId="0" xfId="0" applyFont="1" applyAlignment="1">
      <alignment/>
    </xf>
    <xf numFmtId="0" fontId="6" fillId="0" borderId="0" xfId="0" applyFont="1" applyAlignment="1">
      <alignment/>
    </xf>
    <xf numFmtId="0" fontId="6" fillId="0" borderId="0" xfId="0" applyFont="1" applyFill="1" applyBorder="1" applyAlignment="1" applyProtection="1">
      <alignment horizontal="left"/>
      <protection locked="0"/>
    </xf>
    <xf numFmtId="2" fontId="6"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protection locked="0"/>
    </xf>
    <xf numFmtId="0" fontId="14" fillId="0" borderId="0" xfId="0" applyFont="1" applyFill="1" applyBorder="1" applyAlignment="1" applyProtection="1">
      <alignment horizontal="right"/>
      <protection locked="0"/>
    </xf>
    <xf numFmtId="0" fontId="14" fillId="0" borderId="0" xfId="0" applyFont="1" applyFill="1" applyBorder="1" applyAlignment="1" applyProtection="1">
      <alignment horizontal="center"/>
      <protection locked="0"/>
    </xf>
    <xf numFmtId="0" fontId="6" fillId="0" borderId="0" xfId="0" applyFont="1" applyFill="1" applyBorder="1" applyAlignment="1" applyProtection="1">
      <alignment horizontal="right"/>
      <protection locked="0"/>
    </xf>
    <xf numFmtId="0" fontId="6" fillId="0" borderId="0" xfId="0" applyFont="1" applyFill="1" applyBorder="1" applyAlignment="1" applyProtection="1">
      <alignment horizontal="center"/>
      <protection locked="0"/>
    </xf>
    <xf numFmtId="3" fontId="0" fillId="27" borderId="27" xfId="0" applyNumberFormat="1" applyFill="1" applyBorder="1" applyAlignment="1" applyProtection="1">
      <alignment/>
      <protection locked="0"/>
    </xf>
    <xf numFmtId="164" fontId="0" fillId="27" borderId="27" xfId="0" applyNumberFormat="1" applyFill="1" applyBorder="1" applyAlignment="1" applyProtection="1">
      <alignment/>
      <protection locked="0"/>
    </xf>
    <xf numFmtId="9" fontId="0" fillId="27" borderId="27" xfId="58" applyFont="1" applyFill="1" applyBorder="1" applyAlignment="1" applyProtection="1">
      <alignment/>
      <protection locked="0"/>
    </xf>
    <xf numFmtId="0" fontId="0" fillId="0" borderId="27" xfId="0" applyFill="1" applyBorder="1" applyAlignment="1" applyProtection="1">
      <alignment/>
      <protection locked="0"/>
    </xf>
    <xf numFmtId="0" fontId="0" fillId="27" borderId="27" xfId="0" applyFill="1" applyBorder="1" applyAlignment="1" applyProtection="1">
      <alignment/>
      <protection locked="0"/>
    </xf>
    <xf numFmtId="0" fontId="20" fillId="23" borderId="17" xfId="0" applyFont="1" applyFill="1" applyBorder="1" applyAlignment="1">
      <alignment/>
    </xf>
    <xf numFmtId="0" fontId="6" fillId="23" borderId="0" xfId="0" applyFont="1" applyFill="1" applyBorder="1" applyAlignment="1">
      <alignment/>
    </xf>
    <xf numFmtId="0" fontId="21" fillId="23" borderId="28" xfId="0" applyFont="1" applyFill="1" applyBorder="1" applyAlignment="1">
      <alignment/>
    </xf>
    <xf numFmtId="0" fontId="21" fillId="23" borderId="29" xfId="0" applyFont="1" applyFill="1" applyBorder="1" applyAlignment="1">
      <alignment/>
    </xf>
    <xf numFmtId="0" fontId="6" fillId="23" borderId="29" xfId="0" applyFont="1" applyFill="1" applyBorder="1" applyAlignment="1">
      <alignment/>
    </xf>
    <xf numFmtId="0" fontId="21" fillId="23" borderId="17" xfId="0" applyFont="1" applyFill="1" applyBorder="1" applyAlignment="1">
      <alignment/>
    </xf>
    <xf numFmtId="0" fontId="21" fillId="23" borderId="0" xfId="0" applyFont="1" applyFill="1" applyBorder="1" applyAlignment="1">
      <alignment/>
    </xf>
    <xf numFmtId="9" fontId="21" fillId="23" borderId="0" xfId="0" applyNumberFormat="1" applyFont="1" applyFill="1" applyBorder="1" applyAlignment="1">
      <alignment horizontal="left"/>
    </xf>
    <xf numFmtId="0" fontId="21" fillId="23" borderId="19" xfId="0" applyFont="1" applyFill="1" applyBorder="1" applyAlignment="1">
      <alignment/>
    </xf>
    <xf numFmtId="0" fontId="21" fillId="23" borderId="25" xfId="0" applyFont="1" applyFill="1" applyBorder="1" applyAlignment="1">
      <alignment/>
    </xf>
    <xf numFmtId="9" fontId="21" fillId="23" borderId="25" xfId="0" applyNumberFormat="1" applyFont="1" applyFill="1" applyBorder="1" applyAlignment="1">
      <alignment horizontal="left"/>
    </xf>
    <xf numFmtId="9" fontId="21" fillId="27" borderId="11" xfId="0" applyNumberFormat="1" applyFont="1" applyFill="1" applyBorder="1" applyAlignment="1" applyProtection="1">
      <alignment horizontal="right"/>
      <protection locked="0"/>
    </xf>
    <xf numFmtId="9" fontId="21" fillId="27" borderId="11" xfId="58" applyNumberFormat="1" applyFont="1" applyFill="1" applyBorder="1" applyAlignment="1" applyProtection="1">
      <alignment horizontal="right"/>
      <protection locked="0"/>
    </xf>
    <xf numFmtId="9" fontId="21" fillId="27" borderId="11" xfId="58" applyFont="1" applyFill="1" applyBorder="1" applyAlignment="1" applyProtection="1">
      <alignment horizontal="right"/>
      <protection locked="0"/>
    </xf>
    <xf numFmtId="0" fontId="0" fillId="12" borderId="0" xfId="0" applyFill="1" applyBorder="1" applyAlignment="1" applyProtection="1">
      <alignment/>
      <protection locked="0"/>
    </xf>
    <xf numFmtId="0" fontId="19" fillId="12" borderId="0" xfId="0" applyFont="1" applyFill="1" applyBorder="1" applyAlignment="1">
      <alignment horizontal="center"/>
    </xf>
    <xf numFmtId="0" fontId="10" fillId="12" borderId="0" xfId="0" applyFont="1" applyFill="1" applyBorder="1" applyAlignment="1">
      <alignment horizontal="left" vertical="top" wrapText="1"/>
    </xf>
    <xf numFmtId="0" fontId="9" fillId="12" borderId="0" xfId="0" applyFont="1" applyFill="1" applyBorder="1" applyAlignment="1">
      <alignment horizontal="left" vertical="top" wrapText="1"/>
    </xf>
    <xf numFmtId="0" fontId="3" fillId="22" borderId="0" xfId="0" applyFont="1" applyFill="1" applyAlignment="1">
      <alignment horizontal="center" vertical="center"/>
    </xf>
    <xf numFmtId="0" fontId="0" fillId="22" borderId="0" xfId="0"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6625"/>
          <c:w val="0.926"/>
          <c:h val="0.81075"/>
        </c:manualLayout>
      </c:layout>
      <c:lineChart>
        <c:grouping val="standard"/>
        <c:varyColors val="0"/>
        <c:ser>
          <c:idx val="0"/>
          <c:order val="0"/>
          <c:tx>
            <c:strRef>
              <c:f>'Engine 1'!$B$28</c:f>
              <c:strCache>
                <c:ptCount val="1"/>
                <c:pt idx="0">
                  <c:v>Current Avg Cost Per EE</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'Engine 1'!$A$29:$A$33</c:f>
              <c:strCache>
                <c:ptCount val="5"/>
                <c:pt idx="0">
                  <c:v>Year 1</c:v>
                </c:pt>
                <c:pt idx="1">
                  <c:v>Year 2</c:v>
                </c:pt>
                <c:pt idx="2">
                  <c:v>Year 3</c:v>
                </c:pt>
                <c:pt idx="3">
                  <c:v>Year 4</c:v>
                </c:pt>
                <c:pt idx="4">
                  <c:v>Year 5</c:v>
                </c:pt>
              </c:strCache>
            </c:strRef>
          </c:cat>
          <c:val>
            <c:numRef>
              <c:f>'Engine 1'!$B$29:$B$33</c:f>
              <c:numCache>
                <c:ptCount val="5"/>
                <c:pt idx="0">
                  <c:v>6670.8</c:v>
                </c:pt>
                <c:pt idx="1">
                  <c:v>7271.1720000000005</c:v>
                </c:pt>
                <c:pt idx="2">
                  <c:v>7925.577480000001</c:v>
                </c:pt>
                <c:pt idx="3">
                  <c:v>8638.879453200001</c:v>
                </c:pt>
                <c:pt idx="4">
                  <c:v>9416.378603988001</c:v>
                </c:pt>
              </c:numCache>
            </c:numRef>
          </c:val>
          <c:smooth val="0"/>
        </c:ser>
        <c:ser>
          <c:idx val="1"/>
          <c:order val="1"/>
          <c:tx>
            <c:strRef>
              <c:f>'Engine 1'!$C$28</c:f>
              <c:strCache>
                <c:ptCount val="1"/>
                <c:pt idx="0">
                  <c:v>Forecasted Avg Cost Per EE</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FF8080"/>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'Engine 1'!$A$29:$A$33</c:f>
              <c:strCache>
                <c:ptCount val="5"/>
                <c:pt idx="0">
                  <c:v>Year 1</c:v>
                </c:pt>
                <c:pt idx="1">
                  <c:v>Year 2</c:v>
                </c:pt>
                <c:pt idx="2">
                  <c:v>Year 3</c:v>
                </c:pt>
                <c:pt idx="3">
                  <c:v>Year 4</c:v>
                </c:pt>
                <c:pt idx="4">
                  <c:v>Year 5</c:v>
                </c:pt>
              </c:strCache>
            </c:strRef>
          </c:cat>
          <c:val>
            <c:numRef>
              <c:f>'Engine 1'!$C$29:$C$33</c:f>
              <c:numCache>
                <c:ptCount val="5"/>
                <c:pt idx="0">
                  <c:v>6450.644531250001</c:v>
                </c:pt>
                <c:pt idx="1">
                  <c:v>6905.691156250002</c:v>
                </c:pt>
                <c:pt idx="2">
                  <c:v>7374.9845675000015</c:v>
                </c:pt>
                <c:pt idx="3">
                  <c:v>7858.185971362503</c:v>
                </c:pt>
                <c:pt idx="4">
                  <c:v>8354.78019237663</c:v>
                </c:pt>
              </c:numCache>
            </c:numRef>
          </c:val>
          <c:smooth val="0"/>
        </c:ser>
        <c:ser>
          <c:idx val="2"/>
          <c:order val="2"/>
          <c:tx>
            <c:strRef>
              <c:f>'Engine 1'!$D$28</c:f>
              <c:strCache>
                <c:ptCount val="1"/>
                <c:pt idx="0">
                  <c:v>Avg HSA Balance</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'Engine 1'!$A$29:$A$33</c:f>
              <c:strCache>
                <c:ptCount val="5"/>
                <c:pt idx="0">
                  <c:v>Year 1</c:v>
                </c:pt>
                <c:pt idx="1">
                  <c:v>Year 2</c:v>
                </c:pt>
                <c:pt idx="2">
                  <c:v>Year 3</c:v>
                </c:pt>
                <c:pt idx="3">
                  <c:v>Year 4</c:v>
                </c:pt>
                <c:pt idx="4">
                  <c:v>Year 5</c:v>
                </c:pt>
              </c:strCache>
            </c:strRef>
          </c:cat>
          <c:val>
            <c:numRef>
              <c:f>'Engine 1'!$D$29:$D$33</c:f>
              <c:numCache>
                <c:ptCount val="5"/>
                <c:pt idx="0">
                  <c:v>382.5</c:v>
                </c:pt>
                <c:pt idx="1">
                  <c:v>662.1650442477876</c:v>
                </c:pt>
                <c:pt idx="2">
                  <c:v>908.8527103448276</c:v>
                </c:pt>
                <c:pt idx="3">
                  <c:v>1141.9311630508478</c:v>
                </c:pt>
                <c:pt idx="4">
                  <c:v>1368.9318285990432</c:v>
                </c:pt>
              </c:numCache>
            </c:numRef>
          </c:val>
          <c:smooth val="0"/>
        </c:ser>
        <c:marker val="1"/>
        <c:axId val="59398812"/>
        <c:axId val="64827261"/>
      </c:lineChart>
      <c:catAx>
        <c:axId val="59398812"/>
        <c:scaling>
          <c:orientation val="minMax"/>
        </c:scaling>
        <c:axPos val="b"/>
        <c:delete val="0"/>
        <c:numFmt formatCode="General" sourceLinked="1"/>
        <c:majorTickMark val="out"/>
        <c:minorTickMark val="none"/>
        <c:tickLblPos val="nextTo"/>
        <c:spPr>
          <a:ln w="3175">
            <a:solidFill>
              <a:srgbClr val="808080"/>
            </a:solidFill>
          </a:ln>
        </c:spPr>
        <c:crossAx val="64827261"/>
        <c:crosses val="autoZero"/>
        <c:auto val="1"/>
        <c:lblOffset val="100"/>
        <c:tickLblSkip val="1"/>
        <c:noMultiLvlLbl val="0"/>
      </c:catAx>
      <c:valAx>
        <c:axId val="648272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398812"/>
        <c:crossesAt val="1"/>
        <c:crossBetween val="between"/>
        <c:dispUnits/>
      </c:valAx>
      <c:spPr>
        <a:solidFill>
          <a:srgbClr val="FFFFFF"/>
        </a:solidFill>
        <a:ln w="3175">
          <a:noFill/>
        </a:ln>
      </c:spPr>
    </c:plotArea>
    <c:legend>
      <c:legendPos val="b"/>
      <c:layout>
        <c:manualLayout>
          <c:xMode val="edge"/>
          <c:yMode val="edge"/>
          <c:x val="0.04175"/>
          <c:y val="0.8825"/>
          <c:w val="0.95825"/>
          <c:h val="0.1"/>
        </c:manualLayout>
      </c:layout>
      <c:overlay val="0"/>
      <c:spPr>
        <a:noFill/>
        <a:ln w="3175">
          <a:noFill/>
        </a:ln>
      </c:spPr>
      <c:txPr>
        <a:bodyPr vert="horz" rot="0"/>
        <a:lstStyle/>
        <a:p>
          <a:pPr>
            <a:defRPr lang="en-US" cap="none" sz="735" b="0" i="0" u="none" baseline="0">
              <a:solidFill>
                <a:srgbClr val="000000"/>
              </a:solidFill>
              <a:latin typeface="Calibri"/>
              <a:ea typeface="Calibri"/>
              <a:cs typeface="Calibri"/>
            </a:defRPr>
          </a:pPr>
        </a:p>
      </c:txPr>
    </c:legend>
    <c:plotVisOnly val="1"/>
    <c:dispBlanksAs val="gap"/>
    <c:showDLblsOverMax val="0"/>
  </c:chart>
  <c:spPr>
    <a:solidFill>
      <a:srgbClr val="EEECE1"/>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5"/>
        </c:manualLayout>
      </c:layout>
      <c:spPr>
        <a:noFill/>
        <a:ln>
          <a:noFill/>
        </a:ln>
      </c:spPr>
      <c:txPr>
        <a:bodyPr vert="horz" rot="0"/>
        <a:lstStyle/>
        <a:p>
          <a:pPr>
            <a:defRPr lang="en-US" cap="none" sz="1800" b="1" i="0" u="none" baseline="0">
              <a:solidFill>
                <a:srgbClr val="FFFFFF"/>
              </a:solidFill>
              <a:latin typeface="Calibri"/>
              <a:ea typeface="Calibri"/>
              <a:cs typeface="Calibri"/>
            </a:defRPr>
          </a:pPr>
        </a:p>
      </c:txPr>
    </c:title>
    <c:plotArea>
      <c:layout>
        <c:manualLayout>
          <c:xMode val="edge"/>
          <c:yMode val="edge"/>
          <c:x val="0.02825"/>
          <c:y val="0.1115"/>
          <c:w val="0.787"/>
          <c:h val="0.843"/>
        </c:manualLayout>
      </c:layout>
      <c:barChart>
        <c:barDir val="col"/>
        <c:grouping val="clustered"/>
        <c:varyColors val="0"/>
        <c:ser>
          <c:idx val="0"/>
          <c:order val="0"/>
          <c:tx>
            <c:v>CDH Cost Trend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2010</c:v>
              </c:pt>
              <c:pt idx="1">
                <c:v>2011</c:v>
              </c:pt>
              <c:pt idx="2">
                <c:v>2012</c:v>
              </c:pt>
              <c:pt idx="3">
                <c:v>2013</c:v>
              </c:pt>
              <c:pt idx="4">
                <c:v>2014</c:v>
              </c:pt>
              <c:pt idx="5">
                <c:v>2015</c:v>
              </c:pt>
            </c:numLit>
          </c:cat>
          <c:val>
            <c:numRef>
              <c:f>'Five Yr - Savings'!$B$48:$G$48</c:f>
              <c:numCache>
                <c:ptCount val="6"/>
                <c:pt idx="0">
                  <c:v>0</c:v>
                </c:pt>
                <c:pt idx="1">
                  <c:v>0</c:v>
                </c:pt>
                <c:pt idx="2">
                  <c:v>0</c:v>
                </c:pt>
                <c:pt idx="3">
                  <c:v>0</c:v>
                </c:pt>
                <c:pt idx="4">
                  <c:v>0</c:v>
                </c:pt>
                <c:pt idx="5">
                  <c:v>0</c:v>
                </c:pt>
              </c:numCache>
            </c:numRef>
          </c:val>
        </c:ser>
        <c:axId val="46574438"/>
        <c:axId val="16516759"/>
      </c:barChart>
      <c:catAx>
        <c:axId val="46574438"/>
        <c:scaling>
          <c:orientation val="minMax"/>
        </c:scaling>
        <c:axPos val="b"/>
        <c:delete val="0"/>
        <c:numFmt formatCode="General" sourceLinked="1"/>
        <c:majorTickMark val="out"/>
        <c:minorTickMark val="none"/>
        <c:tickLblPos val="nextTo"/>
        <c:spPr>
          <a:ln w="3175">
            <a:solidFill>
              <a:srgbClr val="808080"/>
            </a:solidFill>
          </a:ln>
        </c:spPr>
        <c:crossAx val="16516759"/>
        <c:crosses val="autoZero"/>
        <c:auto val="1"/>
        <c:lblOffset val="100"/>
        <c:tickLblSkip val="1"/>
        <c:noMultiLvlLbl val="0"/>
      </c:catAx>
      <c:valAx>
        <c:axId val="165167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574438"/>
        <c:crossesAt val="1"/>
        <c:crossBetween val="between"/>
        <c:dispUnits/>
      </c:valAx>
      <c:spPr>
        <a:solidFill>
          <a:srgbClr val="3F3F3F"/>
        </a:solidFill>
        <a:ln w="3175">
          <a:noFill/>
        </a:ln>
      </c:spPr>
    </c:plotArea>
    <c:legend>
      <c:legendPos val="r"/>
      <c:layout>
        <c:manualLayout>
          <c:xMode val="edge"/>
          <c:yMode val="edge"/>
          <c:x val="0.8135"/>
          <c:y val="0.3775"/>
          <c:w val="0.1865"/>
          <c:h val="0.22725"/>
        </c:manualLayout>
      </c:layout>
      <c:overlay val="0"/>
      <c:spPr>
        <a:noFill/>
        <a:ln w="3175">
          <a:noFill/>
        </a:ln>
      </c:spPr>
      <c:txPr>
        <a:bodyPr vert="horz" rot="0"/>
        <a:lstStyle/>
        <a:p>
          <a:pPr>
            <a:defRPr lang="en-US" cap="none" sz="920" b="0" i="0" u="none" baseline="0">
              <a:solidFill>
                <a:srgbClr val="FFFFFF"/>
              </a:solidFill>
              <a:latin typeface="Calibri"/>
              <a:ea typeface="Calibri"/>
              <a:cs typeface="Calibri"/>
            </a:defRPr>
          </a:pPr>
        </a:p>
      </c:tx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5"/>
        </c:manualLayout>
      </c:layout>
      <c:spPr>
        <a:noFill/>
        <a:ln>
          <a:noFill/>
        </a:ln>
      </c:spPr>
      <c:txPr>
        <a:bodyPr vert="horz" rot="0"/>
        <a:lstStyle/>
        <a:p>
          <a:pPr>
            <a:defRPr lang="en-US" cap="none" sz="1800" b="1" i="0" u="none" baseline="0">
              <a:solidFill>
                <a:srgbClr val="FFFFFF"/>
              </a:solidFill>
              <a:latin typeface="Calibri"/>
              <a:ea typeface="Calibri"/>
              <a:cs typeface="Calibri"/>
            </a:defRPr>
          </a:pPr>
        </a:p>
      </c:txPr>
    </c:title>
    <c:plotArea>
      <c:layout>
        <c:manualLayout>
          <c:xMode val="edge"/>
          <c:yMode val="edge"/>
          <c:x val="0"/>
          <c:y val="0.14925"/>
          <c:w val="0.82"/>
          <c:h val="0.8415"/>
        </c:manualLayout>
      </c:layout>
      <c:barChart>
        <c:barDir val="col"/>
        <c:grouping val="stacked"/>
        <c:varyColors val="0"/>
        <c:ser>
          <c:idx val="0"/>
          <c:order val="0"/>
          <c:tx>
            <c:v>Annual Savings</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2010</c:v>
              </c:pt>
              <c:pt idx="1">
                <c:v>2011</c:v>
              </c:pt>
              <c:pt idx="2">
                <c:v>2012</c:v>
              </c:pt>
              <c:pt idx="3">
                <c:v>2013</c:v>
              </c:pt>
              <c:pt idx="4">
                <c:v>2014</c:v>
              </c:pt>
              <c:pt idx="5">
                <c:v>2015</c:v>
              </c:pt>
            </c:numLit>
          </c:cat>
          <c:val>
            <c:numRef>
              <c:f>'Five Yr - Savings'!$B$29:$G$29</c:f>
              <c:numCache>
                <c:ptCount val="6"/>
                <c:pt idx="0">
                  <c:v>0</c:v>
                </c:pt>
                <c:pt idx="1">
                  <c:v>0</c:v>
                </c:pt>
                <c:pt idx="2">
                  <c:v>0</c:v>
                </c:pt>
                <c:pt idx="3">
                  <c:v>0</c:v>
                </c:pt>
                <c:pt idx="4">
                  <c:v>0</c:v>
                </c:pt>
                <c:pt idx="5">
                  <c:v>0</c:v>
                </c:pt>
              </c:numCache>
            </c:numRef>
          </c:val>
        </c:ser>
        <c:overlap val="100"/>
        <c:axId val="14433104"/>
        <c:axId val="62789073"/>
      </c:barChart>
      <c:catAx>
        <c:axId val="14433104"/>
        <c:scaling>
          <c:orientation val="minMax"/>
        </c:scaling>
        <c:axPos val="b"/>
        <c:delete val="0"/>
        <c:numFmt formatCode="General" sourceLinked="1"/>
        <c:majorTickMark val="out"/>
        <c:minorTickMark val="none"/>
        <c:tickLblPos val="nextTo"/>
        <c:spPr>
          <a:ln w="3175">
            <a:solidFill>
              <a:srgbClr val="808080"/>
            </a:solidFill>
          </a:ln>
        </c:spPr>
        <c:crossAx val="62789073"/>
        <c:crosses val="autoZero"/>
        <c:auto val="1"/>
        <c:lblOffset val="100"/>
        <c:tickLblSkip val="1"/>
        <c:noMultiLvlLbl val="0"/>
      </c:catAx>
      <c:valAx>
        <c:axId val="627890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433104"/>
        <c:crossesAt val="1"/>
        <c:crossBetween val="between"/>
        <c:dispUnits/>
      </c:valAx>
      <c:spPr>
        <a:solidFill>
          <a:srgbClr val="3F3F3F"/>
        </a:solidFill>
        <a:ln w="3175">
          <a:noFill/>
        </a:ln>
      </c:spPr>
    </c:plotArea>
    <c:legend>
      <c:legendPos val="r"/>
      <c:layout>
        <c:manualLayout>
          <c:xMode val="edge"/>
          <c:yMode val="edge"/>
          <c:x val="0.819"/>
          <c:y val="0.43"/>
          <c:w val="0.17"/>
          <c:h val="0.13625"/>
        </c:manualLayout>
      </c:layout>
      <c:overlay val="0"/>
      <c:spPr>
        <a:noFill/>
        <a:ln w="3175">
          <a:noFill/>
        </a:ln>
      </c:spPr>
      <c:txPr>
        <a:bodyPr vert="horz" rot="0"/>
        <a:lstStyle/>
        <a:p>
          <a:pPr>
            <a:defRPr lang="en-US" cap="none" sz="920" b="0" i="0" u="none" baseline="0">
              <a:solidFill>
                <a:srgbClr val="FFFFFF"/>
              </a:solidFill>
              <a:latin typeface="Calibri"/>
              <a:ea typeface="Calibri"/>
              <a:cs typeface="Calibri"/>
            </a:defRPr>
          </a:pPr>
        </a:p>
      </c:tx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17</xdr:row>
      <xdr:rowOff>114300</xdr:rowOff>
    </xdr:from>
    <xdr:to>
      <xdr:col>12</xdr:col>
      <xdr:colOff>104775</xdr:colOff>
      <xdr:row>17</xdr:row>
      <xdr:rowOff>200025</xdr:rowOff>
    </xdr:to>
    <xdr:grpSp>
      <xdr:nvGrpSpPr>
        <xdr:cNvPr id="1" name="Group 3"/>
        <xdr:cNvGrpSpPr>
          <a:grpSpLocks/>
        </xdr:cNvGrpSpPr>
      </xdr:nvGrpSpPr>
      <xdr:grpSpPr>
        <a:xfrm>
          <a:off x="7610475" y="4057650"/>
          <a:ext cx="95250" cy="85725"/>
          <a:chOff x="5591175" y="2624138"/>
          <a:chExt cx="160020" cy="133350"/>
        </a:xfrm>
        <a:solidFill>
          <a:srgbClr val="FFFFFF"/>
        </a:solidFill>
      </xdr:grpSpPr>
      <xdr:sp>
        <xdr:nvSpPr>
          <xdr:cNvPr id="2" name="Rounded Rectangle 1"/>
          <xdr:cNvSpPr>
            <a:spLocks/>
          </xdr:cNvSpPr>
        </xdr:nvSpPr>
        <xdr:spPr>
          <a:xfrm>
            <a:off x="5591175" y="2624138"/>
            <a:ext cx="160020" cy="133350"/>
          </a:xfrm>
          <a:prstGeom prst="roundRect">
            <a:avLst/>
          </a:prstGeom>
          <a:solidFill>
            <a:srgbClr val="EEECE1"/>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3" name="Isosceles Triangle 2"/>
          <xdr:cNvSpPr>
            <a:spLocks/>
          </xdr:cNvSpPr>
        </xdr:nvSpPr>
        <xdr:spPr>
          <a:xfrm flipV="1">
            <a:off x="5639181" y="2668577"/>
            <a:ext cx="64008" cy="44439"/>
          </a:xfrm>
          <a:prstGeom prst="triangle">
            <a:avLst/>
          </a:prstGeom>
          <a:solidFill>
            <a:srgbClr val="4A452A"/>
          </a:solidFill>
          <a:ln w="3175" cmpd="sng">
            <a:solidFill>
              <a:srgbClr val="4A452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9525</xdr:colOff>
      <xdr:row>18</xdr:row>
      <xdr:rowOff>123825</xdr:rowOff>
    </xdr:from>
    <xdr:to>
      <xdr:col>12</xdr:col>
      <xdr:colOff>95250</xdr:colOff>
      <xdr:row>19</xdr:row>
      <xdr:rowOff>0</xdr:rowOff>
    </xdr:to>
    <xdr:grpSp>
      <xdr:nvGrpSpPr>
        <xdr:cNvPr id="4" name="Group 4"/>
        <xdr:cNvGrpSpPr>
          <a:grpSpLocks/>
        </xdr:cNvGrpSpPr>
      </xdr:nvGrpSpPr>
      <xdr:grpSpPr>
        <a:xfrm>
          <a:off x="7610475" y="4267200"/>
          <a:ext cx="85725" cy="76200"/>
          <a:chOff x="5591175" y="2624138"/>
          <a:chExt cx="160020" cy="133350"/>
        </a:xfrm>
        <a:solidFill>
          <a:srgbClr val="FFFFFF"/>
        </a:solidFill>
      </xdr:grpSpPr>
      <xdr:sp>
        <xdr:nvSpPr>
          <xdr:cNvPr id="5" name="Rounded Rectangle 5"/>
          <xdr:cNvSpPr>
            <a:spLocks/>
          </xdr:cNvSpPr>
        </xdr:nvSpPr>
        <xdr:spPr>
          <a:xfrm>
            <a:off x="5591175" y="2624138"/>
            <a:ext cx="160020" cy="133350"/>
          </a:xfrm>
          <a:prstGeom prst="roundRect">
            <a:avLst/>
          </a:prstGeom>
          <a:solidFill>
            <a:srgbClr val="EEECE1"/>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Isosceles Triangle 6"/>
          <xdr:cNvSpPr>
            <a:spLocks/>
          </xdr:cNvSpPr>
        </xdr:nvSpPr>
        <xdr:spPr>
          <a:xfrm flipV="1">
            <a:off x="5644502" y="2657476"/>
            <a:ext cx="53327" cy="50006"/>
          </a:xfrm>
          <a:prstGeom prst="triangle">
            <a:avLst/>
          </a:prstGeom>
          <a:solidFill>
            <a:srgbClr val="4A452A"/>
          </a:solidFill>
          <a:ln w="3175" cmpd="sng">
            <a:solidFill>
              <a:srgbClr val="4A452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9525</xdr:colOff>
      <xdr:row>19</xdr:row>
      <xdr:rowOff>114300</xdr:rowOff>
    </xdr:from>
    <xdr:to>
      <xdr:col>12</xdr:col>
      <xdr:colOff>104775</xdr:colOff>
      <xdr:row>20</xdr:row>
      <xdr:rowOff>0</xdr:rowOff>
    </xdr:to>
    <xdr:grpSp>
      <xdr:nvGrpSpPr>
        <xdr:cNvPr id="7" name="Group 7"/>
        <xdr:cNvGrpSpPr>
          <a:grpSpLocks/>
        </xdr:cNvGrpSpPr>
      </xdr:nvGrpSpPr>
      <xdr:grpSpPr>
        <a:xfrm>
          <a:off x="7610475" y="4457700"/>
          <a:ext cx="95250" cy="85725"/>
          <a:chOff x="5591175" y="2624138"/>
          <a:chExt cx="160020" cy="133350"/>
        </a:xfrm>
        <a:solidFill>
          <a:srgbClr val="FFFFFF"/>
        </a:solidFill>
      </xdr:grpSpPr>
      <xdr:sp>
        <xdr:nvSpPr>
          <xdr:cNvPr id="8" name="Rounded Rectangle 8"/>
          <xdr:cNvSpPr>
            <a:spLocks/>
          </xdr:cNvSpPr>
        </xdr:nvSpPr>
        <xdr:spPr>
          <a:xfrm>
            <a:off x="5591175" y="2624138"/>
            <a:ext cx="160020" cy="133350"/>
          </a:xfrm>
          <a:prstGeom prst="roundRect">
            <a:avLst/>
          </a:prstGeom>
          <a:solidFill>
            <a:srgbClr val="EEECE1"/>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Isosceles Triangle 9"/>
          <xdr:cNvSpPr>
            <a:spLocks/>
          </xdr:cNvSpPr>
        </xdr:nvSpPr>
        <xdr:spPr>
          <a:xfrm flipV="1">
            <a:off x="5639181" y="2668577"/>
            <a:ext cx="64008" cy="44439"/>
          </a:xfrm>
          <a:prstGeom prst="triangle">
            <a:avLst/>
          </a:prstGeom>
          <a:solidFill>
            <a:srgbClr val="4A452A"/>
          </a:solidFill>
          <a:ln w="3175" cmpd="sng">
            <a:solidFill>
              <a:srgbClr val="4A452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257175</xdr:colOff>
      <xdr:row>21</xdr:row>
      <xdr:rowOff>38100</xdr:rowOff>
    </xdr:from>
    <xdr:to>
      <xdr:col>13</xdr:col>
      <xdr:colOff>809625</xdr:colOff>
      <xdr:row>33</xdr:row>
      <xdr:rowOff>85725</xdr:rowOff>
    </xdr:to>
    <xdr:graphicFrame>
      <xdr:nvGraphicFramePr>
        <xdr:cNvPr id="10" name="Chart 10"/>
        <xdr:cNvGraphicFramePr/>
      </xdr:nvGraphicFramePr>
      <xdr:xfrm>
        <a:off x="3590925" y="4781550"/>
        <a:ext cx="5800725" cy="2276475"/>
      </xdr:xfrm>
      <a:graphic>
        <a:graphicData uri="http://schemas.openxmlformats.org/drawingml/2006/chart">
          <c:chart xmlns:c="http://schemas.openxmlformats.org/drawingml/2006/chart" r:id="rId1"/>
        </a:graphicData>
      </a:graphic>
    </xdr:graphicFrame>
    <xdr:clientData/>
  </xdr:twoCellAnchor>
  <xdr:twoCellAnchor>
    <xdr:from>
      <xdr:col>8</xdr:col>
      <xdr:colOff>590550</xdr:colOff>
      <xdr:row>21</xdr:row>
      <xdr:rowOff>0</xdr:rowOff>
    </xdr:from>
    <xdr:to>
      <xdr:col>13</xdr:col>
      <xdr:colOff>47625</xdr:colOff>
      <xdr:row>22</xdr:row>
      <xdr:rowOff>133350</xdr:rowOff>
    </xdr:to>
    <xdr:sp>
      <xdr:nvSpPr>
        <xdr:cNvPr id="11" name="TextBox 11"/>
        <xdr:cNvSpPr txBox="1">
          <a:spLocks noChangeArrowheads="1"/>
        </xdr:cNvSpPr>
      </xdr:nvSpPr>
      <xdr:spPr>
        <a:xfrm>
          <a:off x="5143500" y="4743450"/>
          <a:ext cx="3486150" cy="266700"/>
        </a:xfrm>
        <a:prstGeom prst="rect">
          <a:avLst/>
        </a:prstGeom>
        <a:noFill/>
        <a:ln w="9525" cmpd="sng">
          <a:noFill/>
        </a:ln>
      </xdr:spPr>
      <xdr:txBody>
        <a:bodyPr vertOverflow="clip" wrap="square"/>
        <a:p>
          <a:pPr algn="ctr">
            <a:defRPr/>
          </a:pPr>
          <a:r>
            <a:rPr lang="en-US" cap="none" sz="1100" b="1" i="0" u="none" baseline="0">
              <a:latin typeface="Calibri"/>
              <a:ea typeface="Calibri"/>
              <a:cs typeface="Calibri"/>
            </a:rPr>
            <a:t>Annualized Savings Forecast </a:t>
          </a:r>
        </a:p>
      </xdr:txBody>
    </xdr:sp>
    <xdr:clientData/>
  </xdr:twoCellAnchor>
  <xdr:twoCellAnchor>
    <xdr:from>
      <xdr:col>8</xdr:col>
      <xdr:colOff>314325</xdr:colOff>
      <xdr:row>33</xdr:row>
      <xdr:rowOff>161925</xdr:rowOff>
    </xdr:from>
    <xdr:to>
      <xdr:col>12</xdr:col>
      <xdr:colOff>381000</xdr:colOff>
      <xdr:row>35</xdr:row>
      <xdr:rowOff>104775</xdr:rowOff>
    </xdr:to>
    <xdr:sp>
      <xdr:nvSpPr>
        <xdr:cNvPr id="12" name="TextBox 12"/>
        <xdr:cNvSpPr txBox="1">
          <a:spLocks noChangeArrowheads="1"/>
        </xdr:cNvSpPr>
      </xdr:nvSpPr>
      <xdr:spPr>
        <a:xfrm>
          <a:off x="4867275" y="7134225"/>
          <a:ext cx="3114675" cy="342900"/>
        </a:xfrm>
        <a:prstGeom prst="rect">
          <a:avLst/>
        </a:prstGeom>
        <a:noFill/>
        <a:ln w="9525" cmpd="sng">
          <a:noFill/>
        </a:ln>
      </xdr:spPr>
      <xdr:txBody>
        <a:bodyPr vertOverflow="clip" wrap="square"/>
        <a:p>
          <a:pPr algn="ctr">
            <a:defRPr/>
          </a:pPr>
          <a:r>
            <a:rPr lang="en-US" cap="none" sz="1100" b="1" i="0" u="none" baseline="0">
              <a:latin typeface="Calibri"/>
              <a:ea typeface="Calibri"/>
              <a:cs typeface="Calibri"/>
            </a:rPr>
            <a:t>FIVE YEAR Savings Forecast </a:t>
          </a:r>
        </a:p>
      </xdr:txBody>
    </xdr:sp>
    <xdr:clientData/>
  </xdr:twoCellAnchor>
  <xdr:twoCellAnchor>
    <xdr:from>
      <xdr:col>2</xdr:col>
      <xdr:colOff>180975</xdr:colOff>
      <xdr:row>21</xdr:row>
      <xdr:rowOff>0</xdr:rowOff>
    </xdr:from>
    <xdr:to>
      <xdr:col>6</xdr:col>
      <xdr:colOff>85725</xdr:colOff>
      <xdr:row>23</xdr:row>
      <xdr:rowOff>0</xdr:rowOff>
    </xdr:to>
    <xdr:sp>
      <xdr:nvSpPr>
        <xdr:cNvPr id="13" name="TextBox 13"/>
        <xdr:cNvSpPr txBox="1">
          <a:spLocks noChangeArrowheads="1"/>
        </xdr:cNvSpPr>
      </xdr:nvSpPr>
      <xdr:spPr>
        <a:xfrm>
          <a:off x="1019175" y="4743450"/>
          <a:ext cx="2400300" cy="323850"/>
        </a:xfrm>
        <a:prstGeom prst="rect">
          <a:avLst/>
        </a:prstGeom>
        <a:noFill/>
        <a:ln w="9525" cmpd="sng">
          <a:noFill/>
        </a:ln>
      </xdr:spPr>
      <xdr:txBody>
        <a:bodyPr vertOverflow="clip" wrap="square"/>
        <a:p>
          <a:pPr algn="ctr">
            <a:defRPr/>
          </a:pPr>
          <a:r>
            <a:rPr lang="en-US" cap="none" sz="1100" b="1" i="0" u="none" baseline="0">
              <a:latin typeface="Calibri"/>
              <a:ea typeface="Calibri"/>
              <a:cs typeface="Calibri"/>
            </a:rPr>
            <a:t>ADOPTION Forecast Year 1</a:t>
          </a:r>
        </a:p>
      </xdr:txBody>
    </xdr:sp>
    <xdr:clientData/>
  </xdr:twoCellAnchor>
  <xdr:twoCellAnchor editAs="oneCell">
    <xdr:from>
      <xdr:col>12</xdr:col>
      <xdr:colOff>733425</xdr:colOff>
      <xdr:row>37</xdr:row>
      <xdr:rowOff>95250</xdr:rowOff>
    </xdr:from>
    <xdr:to>
      <xdr:col>14</xdr:col>
      <xdr:colOff>76200</xdr:colOff>
      <xdr:row>37</xdr:row>
      <xdr:rowOff>371475</xdr:rowOff>
    </xdr:to>
    <xdr:pic>
      <xdr:nvPicPr>
        <xdr:cNvPr id="14" name="Picture 226" descr="C:\Documents and Settings\msydney\Local Settings\Temporary Internet Files\Content.Outlook\T04M7DIJ\HealthEquity_logo.gif"/>
        <xdr:cNvPicPr preferRelativeResize="1">
          <a:picLocks noChangeAspect="1"/>
        </xdr:cNvPicPr>
      </xdr:nvPicPr>
      <xdr:blipFill>
        <a:blip r:embed="rId2"/>
        <a:stretch>
          <a:fillRect/>
        </a:stretch>
      </xdr:blipFill>
      <xdr:spPr>
        <a:xfrm>
          <a:off x="8334375" y="7858125"/>
          <a:ext cx="1228725" cy="276225"/>
        </a:xfrm>
        <a:prstGeom prst="rect">
          <a:avLst/>
        </a:prstGeom>
        <a:noFill/>
        <a:ln w="9525" cmpd="sng">
          <a:noFill/>
        </a:ln>
      </xdr:spPr>
    </xdr:pic>
    <xdr:clientData/>
  </xdr:twoCellAnchor>
  <xdr:twoCellAnchor>
    <xdr:from>
      <xdr:col>3</xdr:col>
      <xdr:colOff>428625</xdr:colOff>
      <xdr:row>2</xdr:row>
      <xdr:rowOff>47625</xdr:rowOff>
    </xdr:from>
    <xdr:to>
      <xdr:col>12</xdr:col>
      <xdr:colOff>333375</xdr:colOff>
      <xdr:row>3</xdr:row>
      <xdr:rowOff>95250</xdr:rowOff>
    </xdr:to>
    <xdr:sp>
      <xdr:nvSpPr>
        <xdr:cNvPr id="15" name="TextBox 17"/>
        <xdr:cNvSpPr txBox="1">
          <a:spLocks noChangeArrowheads="1"/>
        </xdr:cNvSpPr>
      </xdr:nvSpPr>
      <xdr:spPr>
        <a:xfrm>
          <a:off x="1876425" y="428625"/>
          <a:ext cx="6057900" cy="314325"/>
        </a:xfrm>
        <a:prstGeom prst="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p>
          <a:pPr algn="ctr">
            <a:defRPr/>
          </a:pPr>
          <a:r>
            <a:rPr lang="en-US" cap="none" sz="1400" b="1" i="0" u="none" baseline="0">
              <a:solidFill>
                <a:srgbClr val="FFFFFF"/>
              </a:solidFill>
              <a:latin typeface="Calibri"/>
              <a:ea typeface="Calibri"/>
              <a:cs typeface="Calibri"/>
            </a:rPr>
            <a:t>OPTIMA</a:t>
          </a:r>
          <a:r>
            <a:rPr lang="en-US" cap="none" sz="1400" b="1" i="0" u="none" baseline="0">
              <a:solidFill>
                <a:srgbClr val="FFFFFF"/>
              </a:solidFill>
              <a:latin typeface="Calibri"/>
              <a:ea typeface="Calibri"/>
              <a:cs typeface="Calibri"/>
            </a:rPr>
            <a:t> EQUITY COST SAVINGS MODELING TOOL - Adjustable Assumptions</a:t>
          </a:r>
        </a:p>
      </xdr:txBody>
    </xdr:sp>
    <xdr:clientData/>
  </xdr:twoCellAnchor>
  <xdr:twoCellAnchor>
    <xdr:from>
      <xdr:col>1</xdr:col>
      <xdr:colOff>95250</xdr:colOff>
      <xdr:row>36</xdr:row>
      <xdr:rowOff>28575</xdr:rowOff>
    </xdr:from>
    <xdr:to>
      <xdr:col>12</xdr:col>
      <xdr:colOff>400050</xdr:colOff>
      <xdr:row>38</xdr:row>
      <xdr:rowOff>85725</xdr:rowOff>
    </xdr:to>
    <xdr:sp>
      <xdr:nvSpPr>
        <xdr:cNvPr id="16" name="TextBox 18"/>
        <xdr:cNvSpPr txBox="1">
          <a:spLocks noChangeArrowheads="1"/>
        </xdr:cNvSpPr>
      </xdr:nvSpPr>
      <xdr:spPr>
        <a:xfrm>
          <a:off x="323850" y="7600950"/>
          <a:ext cx="7677150" cy="781050"/>
        </a:xfrm>
        <a:prstGeom prst="rect">
          <a:avLst/>
        </a:prstGeom>
        <a:noFill/>
        <a:ln w="9525" cmpd="sng">
          <a:noFill/>
        </a:ln>
      </xdr:spPr>
      <xdr:txBody>
        <a:bodyPr vertOverflow="clip" wrap="square"/>
        <a:p>
          <a:pPr algn="ctr">
            <a:defRPr/>
          </a:pPr>
          <a:r>
            <a:rPr lang="en-US" cap="none" sz="800" b="0" i="0" u="none" baseline="0">
              <a:solidFill>
                <a:srgbClr val="000000"/>
              </a:solidFill>
              <a:latin typeface="Calibri"/>
              <a:ea typeface="Calibri"/>
              <a:cs typeface="Calibri"/>
            </a:rPr>
            <a:t>This is a reference tool to illustrate potential plan costs and health savings accounts (HSA) adoption rates. Your results and costs may vary from the projections in this model.  Optima Health recommends that employers and employees always consult with a tax advisor when setting up an HSA.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Optima Health is the trade name of Optima Health Plan, Optima Health Insurance Company, and Sentara Health Plans, Inc.  Optima Equity PPO plans are underwritten by Optima Health Insurance Company.  Optima Equity HMO plans are underwritten by Optima Health Plan.  All Optima Health plans have benefits exclusions and limitations and terms under which the policy may be continued in force or discontinued.  For costs and complete details of coverage please call your broker or Optima Health or log on to Optimahealth.com.</a:t>
          </a:r>
        </a:p>
      </xdr:txBody>
    </xdr:sp>
    <xdr:clientData/>
  </xdr:twoCellAnchor>
  <xdr:twoCellAnchor>
    <xdr:from>
      <xdr:col>12</xdr:col>
      <xdr:colOff>742950</xdr:colOff>
      <xdr:row>36</xdr:row>
      <xdr:rowOff>38100</xdr:rowOff>
    </xdr:from>
    <xdr:to>
      <xdr:col>14</xdr:col>
      <xdr:colOff>161925</xdr:colOff>
      <xdr:row>37</xdr:row>
      <xdr:rowOff>323850</xdr:rowOff>
    </xdr:to>
    <xdr:sp>
      <xdr:nvSpPr>
        <xdr:cNvPr id="17" name="TextBox 19"/>
        <xdr:cNvSpPr txBox="1">
          <a:spLocks noChangeArrowheads="1"/>
        </xdr:cNvSpPr>
      </xdr:nvSpPr>
      <xdr:spPr>
        <a:xfrm>
          <a:off x="8343900" y="7610475"/>
          <a:ext cx="1304925" cy="476250"/>
        </a:xfrm>
        <a:prstGeom prst="rect">
          <a:avLst/>
        </a:prstGeom>
        <a:noFill/>
        <a:ln w="9525" cmpd="sng">
          <a:noFill/>
        </a:ln>
      </xdr:spPr>
      <xdr:txBody>
        <a:bodyPr vertOverflow="clip" wrap="square"/>
        <a:p>
          <a:pPr algn="l">
            <a:defRPr/>
          </a:pPr>
          <a:r>
            <a:rPr lang="en-US" cap="none" sz="900" b="0" i="1" u="none" baseline="0">
              <a:solidFill>
                <a:srgbClr val="800080"/>
              </a:solidFill>
              <a:latin typeface="Calibri"/>
              <a:ea typeface="Calibri"/>
              <a:cs typeface="Calibri"/>
            </a:rPr>
            <a:t>HSA administered by </a:t>
          </a:r>
        </a:p>
      </xdr:txBody>
    </xdr:sp>
    <xdr:clientData/>
  </xdr:twoCellAnchor>
  <xdr:twoCellAnchor editAs="oneCell">
    <xdr:from>
      <xdr:col>7</xdr:col>
      <xdr:colOff>38100</xdr:colOff>
      <xdr:row>0</xdr:row>
      <xdr:rowOff>19050</xdr:rowOff>
    </xdr:from>
    <xdr:to>
      <xdr:col>9</xdr:col>
      <xdr:colOff>514350</xdr:colOff>
      <xdr:row>2</xdr:row>
      <xdr:rowOff>9525</xdr:rowOff>
    </xdr:to>
    <xdr:pic>
      <xdr:nvPicPr>
        <xdr:cNvPr id="18" name="Picture 1067" descr="Opt_1C_Rev_Wht_H"/>
        <xdr:cNvPicPr preferRelativeResize="1">
          <a:picLocks noChangeAspect="1"/>
        </xdr:cNvPicPr>
      </xdr:nvPicPr>
      <xdr:blipFill>
        <a:blip r:embed="rId3"/>
        <a:stretch>
          <a:fillRect/>
        </a:stretch>
      </xdr:blipFill>
      <xdr:spPr>
        <a:xfrm>
          <a:off x="3981450" y="19050"/>
          <a:ext cx="16954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50</xdr:row>
      <xdr:rowOff>0</xdr:rowOff>
    </xdr:from>
    <xdr:to>
      <xdr:col>2</xdr:col>
      <xdr:colOff>781050</xdr:colOff>
      <xdr:row>64</xdr:row>
      <xdr:rowOff>142875</xdr:rowOff>
    </xdr:to>
    <xdr:graphicFrame>
      <xdr:nvGraphicFramePr>
        <xdr:cNvPr id="1" name="Chart 89"/>
        <xdr:cNvGraphicFramePr/>
      </xdr:nvGraphicFramePr>
      <xdr:xfrm>
        <a:off x="66675" y="10239375"/>
        <a:ext cx="4324350" cy="2809875"/>
      </xdr:xfrm>
      <a:graphic>
        <a:graphicData uri="http://schemas.openxmlformats.org/drawingml/2006/chart">
          <c:chart xmlns:c="http://schemas.openxmlformats.org/drawingml/2006/chart" r:id="rId1"/>
        </a:graphicData>
      </a:graphic>
    </xdr:graphicFrame>
    <xdr:clientData/>
  </xdr:twoCellAnchor>
  <xdr:twoCellAnchor>
    <xdr:from>
      <xdr:col>2</xdr:col>
      <xdr:colOff>838200</xdr:colOff>
      <xdr:row>49</xdr:row>
      <xdr:rowOff>190500</xdr:rowOff>
    </xdr:from>
    <xdr:to>
      <xdr:col>7</xdr:col>
      <xdr:colOff>857250</xdr:colOff>
      <xdr:row>64</xdr:row>
      <xdr:rowOff>142875</xdr:rowOff>
    </xdr:to>
    <xdr:graphicFrame>
      <xdr:nvGraphicFramePr>
        <xdr:cNvPr id="2" name="Chart 2"/>
        <xdr:cNvGraphicFramePr/>
      </xdr:nvGraphicFramePr>
      <xdr:xfrm>
        <a:off x="4448175" y="10239375"/>
        <a:ext cx="4400550" cy="28098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pageSetUpPr fitToPage="1"/>
  </sheetPr>
  <dimension ref="A1:AA38"/>
  <sheetViews>
    <sheetView tabSelected="1" zoomScalePageLayoutView="0" workbookViewId="0" topLeftCell="A1">
      <selection activeCell="L10" sqref="L10"/>
    </sheetView>
  </sheetViews>
  <sheetFormatPr defaultColWidth="9.140625" defaultRowHeight="15"/>
  <cols>
    <col min="1" max="1" width="3.421875" style="0" customWidth="1"/>
    <col min="4" max="6" width="9.421875" style="0" bestFit="1" customWidth="1"/>
    <col min="11" max="11" width="5.28125" style="0" customWidth="1"/>
    <col min="12" max="12" width="22.140625" style="0" customWidth="1"/>
    <col min="13" max="13" width="14.7109375" style="0" bestFit="1" customWidth="1"/>
    <col min="14" max="14" width="13.57421875" style="0" customWidth="1"/>
    <col min="15" max="15" width="3.140625" style="0" customWidth="1"/>
    <col min="16" max="16" width="0" style="103" hidden="1" customWidth="1"/>
    <col min="17" max="17" width="6.28125" style="104" hidden="1" customWidth="1"/>
    <col min="18" max="18" width="14.140625" style="104" hidden="1" customWidth="1"/>
    <col min="19" max="19" width="21.7109375" style="105" hidden="1" customWidth="1"/>
    <col min="20" max="20" width="9.140625" style="105" hidden="1" customWidth="1"/>
    <col min="21" max="21" width="9.28125" style="105" hidden="1" customWidth="1"/>
    <col min="22" max="23" width="9.28125" style="105" customWidth="1"/>
    <col min="24" max="24" width="9.140625" style="105" customWidth="1"/>
    <col min="25" max="25" width="9.140625" style="107" customWidth="1"/>
    <col min="26" max="27" width="9.140625" style="108" customWidth="1"/>
  </cols>
  <sheetData>
    <row r="1" spans="1:20" ht="15">
      <c r="A1" s="90"/>
      <c r="B1" s="91"/>
      <c r="C1" s="91"/>
      <c r="D1" s="91"/>
      <c r="E1" s="91"/>
      <c r="F1" s="91"/>
      <c r="G1" s="91"/>
      <c r="H1" s="91"/>
      <c r="I1" s="91"/>
      <c r="J1" s="91"/>
      <c r="K1" s="91"/>
      <c r="L1" s="91"/>
      <c r="M1" s="91"/>
      <c r="N1" s="91"/>
      <c r="O1" s="92"/>
      <c r="T1" s="106">
        <v>0.5</v>
      </c>
    </row>
    <row r="2" spans="1:20" ht="15">
      <c r="A2" s="93"/>
      <c r="B2" s="57"/>
      <c r="C2" s="57"/>
      <c r="D2" s="57"/>
      <c r="E2" s="57"/>
      <c r="F2" s="57"/>
      <c r="G2" s="57"/>
      <c r="H2" s="57"/>
      <c r="I2" s="57"/>
      <c r="J2" s="57"/>
      <c r="K2" s="57"/>
      <c r="L2" s="57"/>
      <c r="M2" s="57"/>
      <c r="N2" s="57"/>
      <c r="O2" s="94"/>
      <c r="S2" s="109" t="s">
        <v>4</v>
      </c>
      <c r="T2" s="110">
        <v>1</v>
      </c>
    </row>
    <row r="3" spans="1:20" ht="21">
      <c r="A3" s="93"/>
      <c r="B3" s="136"/>
      <c r="C3" s="136"/>
      <c r="D3" s="136"/>
      <c r="E3" s="136"/>
      <c r="F3" s="136"/>
      <c r="G3" s="136"/>
      <c r="H3" s="136"/>
      <c r="I3" s="136"/>
      <c r="J3" s="136"/>
      <c r="K3" s="136"/>
      <c r="L3" s="136"/>
      <c r="M3" s="136"/>
      <c r="N3" s="136"/>
      <c r="O3" s="94"/>
      <c r="S3" s="109" t="s">
        <v>5</v>
      </c>
      <c r="T3" s="110">
        <v>0.2</v>
      </c>
    </row>
    <row r="4" spans="1:20" ht="15">
      <c r="A4" s="93"/>
      <c r="B4" s="57"/>
      <c r="C4" s="57"/>
      <c r="D4" s="57"/>
      <c r="E4" s="57"/>
      <c r="F4" s="57"/>
      <c r="G4" s="57"/>
      <c r="H4" s="57"/>
      <c r="I4" s="57"/>
      <c r="J4" s="57"/>
      <c r="K4" s="57"/>
      <c r="L4" s="57"/>
      <c r="M4" s="57"/>
      <c r="N4" s="57"/>
      <c r="O4" s="94"/>
      <c r="S4" s="109" t="s">
        <v>6</v>
      </c>
      <c r="T4" s="110">
        <v>0.05</v>
      </c>
    </row>
    <row r="5" spans="1:20" ht="15">
      <c r="A5" s="93"/>
      <c r="B5" s="137" t="s">
        <v>101</v>
      </c>
      <c r="C5" s="138"/>
      <c r="D5" s="138"/>
      <c r="E5" s="138"/>
      <c r="F5" s="138"/>
      <c r="G5" s="138"/>
      <c r="H5" s="138"/>
      <c r="I5" s="138"/>
      <c r="J5" s="138"/>
      <c r="K5" s="138"/>
      <c r="L5" s="138"/>
      <c r="M5" s="138"/>
      <c r="N5" s="138"/>
      <c r="O5" s="94"/>
      <c r="S5" s="104"/>
      <c r="T5" s="106">
        <v>0.25</v>
      </c>
    </row>
    <row r="6" spans="1:20" ht="57.75" customHeight="1">
      <c r="A6" s="93"/>
      <c r="B6" s="138"/>
      <c r="C6" s="138"/>
      <c r="D6" s="138"/>
      <c r="E6" s="138"/>
      <c r="F6" s="138"/>
      <c r="G6" s="138"/>
      <c r="H6" s="138"/>
      <c r="I6" s="138"/>
      <c r="J6" s="138"/>
      <c r="K6" s="138"/>
      <c r="L6" s="138"/>
      <c r="M6" s="138"/>
      <c r="N6" s="138"/>
      <c r="O6" s="94"/>
      <c r="S6" s="109" t="s">
        <v>12</v>
      </c>
      <c r="T6" s="110">
        <v>0.6</v>
      </c>
    </row>
    <row r="7" spans="1:20" ht="15">
      <c r="A7" s="93"/>
      <c r="B7" s="57"/>
      <c r="C7" s="57"/>
      <c r="D7" s="57"/>
      <c r="E7" s="57"/>
      <c r="F7" s="57"/>
      <c r="G7" s="57"/>
      <c r="H7" s="57"/>
      <c r="I7" s="57"/>
      <c r="J7" s="57"/>
      <c r="K7" s="57"/>
      <c r="L7" s="57"/>
      <c r="M7" s="57"/>
      <c r="N7" s="57"/>
      <c r="O7" s="94"/>
      <c r="S7" s="109" t="s">
        <v>88</v>
      </c>
      <c r="T7" s="110">
        <v>0.2</v>
      </c>
    </row>
    <row r="8" spans="1:20" ht="15.75" thickBot="1">
      <c r="A8" s="93"/>
      <c r="B8" s="95" t="s">
        <v>59</v>
      </c>
      <c r="C8" s="57"/>
      <c r="D8" s="57"/>
      <c r="E8" s="57"/>
      <c r="F8" s="57"/>
      <c r="G8" s="57"/>
      <c r="H8" s="57"/>
      <c r="I8" s="57"/>
      <c r="J8" s="57"/>
      <c r="K8" s="57"/>
      <c r="L8" s="57"/>
      <c r="M8" s="57"/>
      <c r="N8" s="57"/>
      <c r="O8" s="94"/>
      <c r="S8" s="109" t="s">
        <v>7</v>
      </c>
      <c r="T8" s="110">
        <v>0.1</v>
      </c>
    </row>
    <row r="9" spans="1:20" ht="15.75" thickBot="1">
      <c r="A9" s="93"/>
      <c r="B9" s="96" t="s">
        <v>58</v>
      </c>
      <c r="C9" s="57"/>
      <c r="D9" s="57"/>
      <c r="E9" s="57"/>
      <c r="F9" s="57"/>
      <c r="G9" s="57"/>
      <c r="H9" s="57"/>
      <c r="I9" s="57"/>
      <c r="J9" s="57"/>
      <c r="K9" s="57"/>
      <c r="L9" s="116">
        <v>80</v>
      </c>
      <c r="M9" s="57"/>
      <c r="N9" s="57"/>
      <c r="O9" s="94"/>
      <c r="T9" s="106">
        <v>0.25</v>
      </c>
    </row>
    <row r="10" spans="1:20" ht="15.75" thickBot="1">
      <c r="A10" s="93"/>
      <c r="B10" s="96" t="s">
        <v>102</v>
      </c>
      <c r="C10" s="57"/>
      <c r="D10" s="57"/>
      <c r="E10" s="57"/>
      <c r="F10" s="57"/>
      <c r="G10" s="57"/>
      <c r="H10" s="57"/>
      <c r="I10" s="57"/>
      <c r="J10" s="57"/>
      <c r="K10" s="57"/>
      <c r="L10" s="116">
        <v>70</v>
      </c>
      <c r="M10" s="57"/>
      <c r="N10" s="57"/>
      <c r="O10" s="94"/>
      <c r="S10" s="109" t="s">
        <v>8</v>
      </c>
      <c r="T10" s="110">
        <v>0.75</v>
      </c>
    </row>
    <row r="11" spans="1:20" ht="15.75" thickBot="1">
      <c r="A11" s="93"/>
      <c r="B11" s="96" t="s">
        <v>100</v>
      </c>
      <c r="C11" s="57"/>
      <c r="D11" s="57"/>
      <c r="E11" s="57"/>
      <c r="F11" s="57"/>
      <c r="G11" s="57"/>
      <c r="H11" s="57"/>
      <c r="I11" s="57"/>
      <c r="J11" s="57"/>
      <c r="K11" s="57"/>
      <c r="L11" s="117">
        <v>35700</v>
      </c>
      <c r="M11" s="57"/>
      <c r="N11" s="57"/>
      <c r="O11" s="94"/>
      <c r="S11" s="109" t="s">
        <v>9</v>
      </c>
      <c r="T11" s="110">
        <v>0.35</v>
      </c>
    </row>
    <row r="12" spans="1:20" ht="15.75" thickBot="1">
      <c r="A12" s="93"/>
      <c r="B12" s="96" t="s">
        <v>97</v>
      </c>
      <c r="C12" s="57"/>
      <c r="D12" s="57"/>
      <c r="E12" s="57"/>
      <c r="F12" s="57"/>
      <c r="G12" s="57"/>
      <c r="H12" s="57"/>
      <c r="I12" s="57"/>
      <c r="J12" s="57"/>
      <c r="K12" s="57"/>
      <c r="L12" s="116">
        <v>0</v>
      </c>
      <c r="M12" s="57"/>
      <c r="N12" s="57"/>
      <c r="O12" s="94"/>
      <c r="S12" s="109" t="s">
        <v>10</v>
      </c>
      <c r="T12" s="110">
        <v>0.1</v>
      </c>
    </row>
    <row r="13" spans="1:20" ht="15.75" thickBot="1">
      <c r="A13" s="93"/>
      <c r="B13" s="96" t="s">
        <v>81</v>
      </c>
      <c r="C13" s="57"/>
      <c r="D13" s="57"/>
      <c r="E13" s="57"/>
      <c r="F13" s="57"/>
      <c r="G13" s="57"/>
      <c r="H13" s="57"/>
      <c r="I13" s="57"/>
      <c r="J13" s="57"/>
      <c r="K13" s="57"/>
      <c r="L13" s="117">
        <v>1000</v>
      </c>
      <c r="M13" s="57"/>
      <c r="N13" s="57"/>
      <c r="O13" s="94"/>
      <c r="T13" s="111"/>
    </row>
    <row r="14" spans="1:20" ht="15.75" thickBot="1">
      <c r="A14" s="93"/>
      <c r="B14" s="96" t="s">
        <v>82</v>
      </c>
      <c r="C14" s="57"/>
      <c r="D14" s="57"/>
      <c r="E14" s="57"/>
      <c r="F14" s="57"/>
      <c r="G14" s="57"/>
      <c r="H14" s="57"/>
      <c r="I14" s="57"/>
      <c r="J14" s="57"/>
      <c r="K14" s="57"/>
      <c r="L14" s="117">
        <v>500</v>
      </c>
      <c r="M14" s="57"/>
      <c r="N14" s="57"/>
      <c r="O14" s="94"/>
      <c r="P14" s="107"/>
      <c r="Q14" s="105"/>
      <c r="R14" s="105"/>
      <c r="T14" s="111"/>
    </row>
    <row r="15" spans="1:15" ht="15.75" thickBot="1">
      <c r="A15" s="93"/>
      <c r="B15" s="102" t="s">
        <v>99</v>
      </c>
      <c r="C15" s="57"/>
      <c r="D15" s="57"/>
      <c r="E15" s="57"/>
      <c r="F15" s="57"/>
      <c r="G15" s="57"/>
      <c r="H15" s="57"/>
      <c r="I15" s="57"/>
      <c r="J15" s="57"/>
      <c r="K15" s="57"/>
      <c r="L15" s="118">
        <v>0.3</v>
      </c>
      <c r="M15" s="57"/>
      <c r="N15" s="57"/>
      <c r="O15" s="94"/>
    </row>
    <row r="16" spans="1:20" ht="15">
      <c r="A16" s="93"/>
      <c r="B16" s="57"/>
      <c r="C16" s="57"/>
      <c r="D16" s="57"/>
      <c r="E16" s="57"/>
      <c r="F16" s="57"/>
      <c r="G16" s="57"/>
      <c r="H16" s="57"/>
      <c r="I16" s="57"/>
      <c r="J16" s="57"/>
      <c r="K16" s="57"/>
      <c r="L16" s="135"/>
      <c r="M16" s="57"/>
      <c r="N16" s="57"/>
      <c r="O16" s="94"/>
      <c r="S16" s="112" t="s">
        <v>3</v>
      </c>
      <c r="T16" s="113" t="s">
        <v>11</v>
      </c>
    </row>
    <row r="17" spans="1:20" ht="15.75" thickBot="1">
      <c r="A17" s="93"/>
      <c r="B17" s="95" t="s">
        <v>57</v>
      </c>
      <c r="C17" s="57"/>
      <c r="D17" s="57"/>
      <c r="E17" s="57"/>
      <c r="F17" s="57"/>
      <c r="G17" s="57"/>
      <c r="H17" s="57"/>
      <c r="I17" s="57"/>
      <c r="J17" s="57"/>
      <c r="K17" s="57"/>
      <c r="L17" s="135"/>
      <c r="M17" s="57"/>
      <c r="N17" s="57"/>
      <c r="O17" s="94"/>
      <c r="S17" s="114">
        <f>VLOOKUP(L18,S2:T4,2,FALSE)</f>
        <v>0.2</v>
      </c>
      <c r="T17" s="115">
        <f>S17*T1</f>
        <v>0.1</v>
      </c>
    </row>
    <row r="18" spans="1:20" ht="15.75" thickBot="1">
      <c r="A18" s="93"/>
      <c r="B18" s="96" t="s">
        <v>54</v>
      </c>
      <c r="C18" s="57"/>
      <c r="D18" s="57"/>
      <c r="E18" s="57"/>
      <c r="F18" s="57"/>
      <c r="G18" s="57"/>
      <c r="H18" s="57"/>
      <c r="I18" s="57"/>
      <c r="J18" s="57"/>
      <c r="K18" s="57"/>
      <c r="L18" s="119" t="s">
        <v>5</v>
      </c>
      <c r="M18" s="57"/>
      <c r="N18" s="57"/>
      <c r="O18" s="94"/>
      <c r="S18" s="114">
        <f>VLOOKUP(L19,S6:T8,2,FALSE)</f>
        <v>0.6</v>
      </c>
      <c r="T18" s="115">
        <f>S18*T5</f>
        <v>0.15</v>
      </c>
    </row>
    <row r="19" spans="1:20" ht="15.75" thickBot="1">
      <c r="A19" s="93"/>
      <c r="B19" s="96" t="s">
        <v>55</v>
      </c>
      <c r="C19" s="57"/>
      <c r="D19" s="57"/>
      <c r="E19" s="57"/>
      <c r="F19" s="57"/>
      <c r="G19" s="57"/>
      <c r="H19" s="57"/>
      <c r="I19" s="57"/>
      <c r="J19" s="57"/>
      <c r="K19" s="57"/>
      <c r="L19" s="120" t="s">
        <v>12</v>
      </c>
      <c r="M19" s="57"/>
      <c r="N19" s="57"/>
      <c r="O19" s="94"/>
      <c r="S19" s="114">
        <f>VLOOKUP(L20,S10:T12,2,FALSE)</f>
        <v>0.35</v>
      </c>
      <c r="T19" s="115">
        <f>S19*T9</f>
        <v>0.0875</v>
      </c>
    </row>
    <row r="20" spans="1:20" ht="15.75" thickBot="1">
      <c r="A20" s="93"/>
      <c r="B20" s="96" t="s">
        <v>56</v>
      </c>
      <c r="C20" s="57"/>
      <c r="D20" s="57"/>
      <c r="E20" s="57"/>
      <c r="F20" s="57"/>
      <c r="G20" s="57"/>
      <c r="H20" s="57"/>
      <c r="I20" s="57"/>
      <c r="J20" s="57"/>
      <c r="K20" s="57"/>
      <c r="L20" s="120" t="s">
        <v>9</v>
      </c>
      <c r="M20" s="57"/>
      <c r="N20" s="57"/>
      <c r="O20" s="94"/>
      <c r="S20" s="114"/>
      <c r="T20" s="115">
        <f>SUM(T17:T19)</f>
        <v>0.3375</v>
      </c>
    </row>
    <row r="21" spans="1:27" ht="15.75" thickBot="1">
      <c r="A21" s="93"/>
      <c r="B21" s="57"/>
      <c r="C21" s="57"/>
      <c r="D21" s="57"/>
      <c r="E21" s="57"/>
      <c r="F21" s="57"/>
      <c r="G21" s="57"/>
      <c r="H21" s="57"/>
      <c r="I21" s="57"/>
      <c r="J21" s="57"/>
      <c r="K21" s="57"/>
      <c r="L21" s="57"/>
      <c r="M21" s="57"/>
      <c r="N21" s="57"/>
      <c r="O21" s="94"/>
      <c r="Q21" s="114"/>
      <c r="R21" s="115"/>
      <c r="T21" s="107"/>
      <c r="U21" s="108"/>
      <c r="V21" s="108"/>
      <c r="W21"/>
      <c r="X21"/>
      <c r="Y21"/>
      <c r="Z21"/>
      <c r="AA21"/>
    </row>
    <row r="22" spans="1:27" ht="10.5" customHeight="1">
      <c r="A22" s="93"/>
      <c r="B22" s="80"/>
      <c r="C22" s="81"/>
      <c r="D22" s="81"/>
      <c r="E22" s="81"/>
      <c r="F22" s="81"/>
      <c r="G22" s="81"/>
      <c r="H22" s="81"/>
      <c r="I22" s="81"/>
      <c r="J22" s="81"/>
      <c r="K22" s="81"/>
      <c r="L22" s="81"/>
      <c r="M22" s="81"/>
      <c r="N22" s="82"/>
      <c r="O22" s="94"/>
      <c r="Q22" s="114"/>
      <c r="R22" s="115"/>
      <c r="T22" s="107"/>
      <c r="U22" s="108"/>
      <c r="V22" s="108"/>
      <c r="W22"/>
      <c r="X22"/>
      <c r="Y22"/>
      <c r="Z22"/>
      <c r="AA22"/>
    </row>
    <row r="23" spans="1:27" ht="15">
      <c r="A23" s="93"/>
      <c r="B23" s="83"/>
      <c r="C23" s="58"/>
      <c r="D23" s="58"/>
      <c r="E23" s="58"/>
      <c r="F23" s="58"/>
      <c r="G23" s="58"/>
      <c r="H23" s="58"/>
      <c r="I23" s="58"/>
      <c r="J23" s="58"/>
      <c r="K23" s="58"/>
      <c r="L23" s="58"/>
      <c r="M23" s="58"/>
      <c r="N23" s="84"/>
      <c r="O23" s="94"/>
      <c r="Q23" s="114"/>
      <c r="R23" s="115"/>
      <c r="T23" s="107"/>
      <c r="U23" s="108"/>
      <c r="V23" s="108"/>
      <c r="W23"/>
      <c r="X23"/>
      <c r="Y23"/>
      <c r="Z23"/>
      <c r="AA23"/>
    </row>
    <row r="24" spans="1:27" ht="15">
      <c r="A24" s="93"/>
      <c r="B24" s="83"/>
      <c r="C24" s="58"/>
      <c r="D24" s="85" t="s">
        <v>2</v>
      </c>
      <c r="E24" s="85" t="s">
        <v>73</v>
      </c>
      <c r="F24" s="85" t="s">
        <v>0</v>
      </c>
      <c r="G24" s="58"/>
      <c r="H24" s="58"/>
      <c r="I24" s="58"/>
      <c r="J24" s="58"/>
      <c r="K24" s="58"/>
      <c r="L24" s="58"/>
      <c r="M24" s="58"/>
      <c r="N24" s="84"/>
      <c r="O24" s="94"/>
      <c r="Q24" s="114"/>
      <c r="T24" s="107"/>
      <c r="U24" s="108"/>
      <c r="V24" s="108"/>
      <c r="W24"/>
      <c r="X24"/>
      <c r="Y24"/>
      <c r="Z24"/>
      <c r="AA24"/>
    </row>
    <row r="25" spans="1:27" ht="15">
      <c r="A25" s="93"/>
      <c r="B25" s="86" t="s">
        <v>69</v>
      </c>
      <c r="C25" s="58"/>
      <c r="D25" s="74">
        <f>'Engine 1'!B20</f>
        <v>11.8125</v>
      </c>
      <c r="E25" s="74">
        <f>'Engine 1'!C20</f>
        <v>17.71875</v>
      </c>
      <c r="F25" s="74">
        <f>'Engine 1'!D20</f>
        <v>23.625</v>
      </c>
      <c r="G25" s="58"/>
      <c r="H25" s="58"/>
      <c r="I25" s="58"/>
      <c r="J25" s="58"/>
      <c r="K25" s="58"/>
      <c r="L25" s="58"/>
      <c r="M25" s="58"/>
      <c r="N25" s="84"/>
      <c r="O25" s="94"/>
      <c r="T25" s="107"/>
      <c r="U25" s="108"/>
      <c r="V25" s="108"/>
      <c r="W25"/>
      <c r="X25"/>
      <c r="Y25"/>
      <c r="Z25"/>
      <c r="AA25"/>
    </row>
    <row r="26" spans="1:27" ht="15">
      <c r="A26" s="93"/>
      <c r="B26" s="86" t="s">
        <v>70</v>
      </c>
      <c r="C26" s="58"/>
      <c r="D26" s="74">
        <f>'Engine 1'!B21</f>
        <v>58.1875</v>
      </c>
      <c r="E26" s="74">
        <f>'Engine 1'!C21</f>
        <v>52.28125</v>
      </c>
      <c r="F26" s="74">
        <f>'Engine 1'!D21</f>
        <v>46.375</v>
      </c>
      <c r="G26" s="58"/>
      <c r="H26" s="58"/>
      <c r="I26" s="58"/>
      <c r="J26" s="58"/>
      <c r="K26" s="58"/>
      <c r="L26" s="58"/>
      <c r="M26" s="58"/>
      <c r="N26" s="84"/>
      <c r="O26" s="94"/>
      <c r="T26" s="107"/>
      <c r="U26" s="108"/>
      <c r="V26" s="108"/>
      <c r="W26"/>
      <c r="X26"/>
      <c r="Y26"/>
      <c r="Z26"/>
      <c r="AA26"/>
    </row>
    <row r="27" spans="1:27" ht="15">
      <c r="A27" s="93"/>
      <c r="B27" s="86" t="s">
        <v>74</v>
      </c>
      <c r="C27" s="58"/>
      <c r="D27" s="74">
        <f>'Engine 1'!B22</f>
        <v>70</v>
      </c>
      <c r="E27" s="74">
        <f>'Engine 1'!C22</f>
        <v>70</v>
      </c>
      <c r="F27" s="74">
        <f>'Engine 1'!D22</f>
        <v>70</v>
      </c>
      <c r="G27" s="58"/>
      <c r="H27" s="58"/>
      <c r="I27" s="58"/>
      <c r="J27" s="58"/>
      <c r="K27" s="58"/>
      <c r="L27" s="58"/>
      <c r="M27" s="58"/>
      <c r="N27" s="84"/>
      <c r="O27" s="94"/>
      <c r="T27" s="107"/>
      <c r="U27" s="108"/>
      <c r="V27" s="108"/>
      <c r="W27"/>
      <c r="X27"/>
      <c r="Y27"/>
      <c r="Z27"/>
      <c r="AA27"/>
    </row>
    <row r="28" spans="1:27" ht="15">
      <c r="A28" s="93"/>
      <c r="B28" s="86" t="s">
        <v>75</v>
      </c>
      <c r="C28" s="58"/>
      <c r="D28" s="53">
        <f>'Engine 1'!B23</f>
        <v>0.16875</v>
      </c>
      <c r="E28" s="53">
        <f>'Engine 1'!C23</f>
        <v>0.253125</v>
      </c>
      <c r="F28" s="53">
        <f>'Engine 1'!D23</f>
        <v>0.3375</v>
      </c>
      <c r="G28" s="58"/>
      <c r="H28" s="58"/>
      <c r="I28" s="58"/>
      <c r="J28" s="58"/>
      <c r="K28" s="58"/>
      <c r="L28" s="58"/>
      <c r="M28" s="58"/>
      <c r="N28" s="84"/>
      <c r="O28" s="94"/>
      <c r="T28" s="107"/>
      <c r="U28" s="108"/>
      <c r="V28" s="108"/>
      <c r="W28"/>
      <c r="X28"/>
      <c r="Y28"/>
      <c r="Z28"/>
      <c r="AA28"/>
    </row>
    <row r="29" spans="1:27" ht="15">
      <c r="A29" s="93"/>
      <c r="B29" s="83"/>
      <c r="C29" s="58"/>
      <c r="D29" s="58"/>
      <c r="E29" s="58"/>
      <c r="F29" s="58"/>
      <c r="G29" s="58"/>
      <c r="H29" s="58"/>
      <c r="I29" s="58"/>
      <c r="J29" s="58"/>
      <c r="K29" s="58"/>
      <c r="L29" s="58"/>
      <c r="M29" s="58"/>
      <c r="N29" s="84"/>
      <c r="O29" s="94"/>
      <c r="T29" s="107"/>
      <c r="U29" s="108"/>
      <c r="V29" s="108"/>
      <c r="W29"/>
      <c r="X29"/>
      <c r="Y29"/>
      <c r="Z29"/>
      <c r="AA29"/>
    </row>
    <row r="30" spans="1:27" ht="15">
      <c r="A30" s="93"/>
      <c r="B30" s="121" t="s">
        <v>79</v>
      </c>
      <c r="C30" s="122"/>
      <c r="D30" s="122"/>
      <c r="E30" s="122"/>
      <c r="F30" s="58"/>
      <c r="G30" s="58"/>
      <c r="H30" s="58"/>
      <c r="I30" s="58"/>
      <c r="J30" s="58"/>
      <c r="K30" s="58"/>
      <c r="L30" s="58"/>
      <c r="M30" s="58"/>
      <c r="N30" s="84"/>
      <c r="O30" s="94"/>
      <c r="T30" s="107"/>
      <c r="U30" s="108"/>
      <c r="V30" s="108"/>
      <c r="W30"/>
      <c r="X30"/>
      <c r="Y30"/>
      <c r="Z30"/>
      <c r="AA30"/>
    </row>
    <row r="31" spans="1:27" ht="15">
      <c r="A31" s="93"/>
      <c r="B31" s="123" t="s">
        <v>76</v>
      </c>
      <c r="C31" s="124"/>
      <c r="D31" s="125"/>
      <c r="E31" s="132">
        <v>0.09</v>
      </c>
      <c r="F31" s="58"/>
      <c r="G31" s="58"/>
      <c r="H31" s="58"/>
      <c r="I31" s="58"/>
      <c r="J31" s="58"/>
      <c r="K31" s="58"/>
      <c r="L31" s="58"/>
      <c r="M31" s="58"/>
      <c r="N31" s="84"/>
      <c r="O31" s="94"/>
      <c r="T31" s="107"/>
      <c r="U31" s="108"/>
      <c r="V31" s="108"/>
      <c r="W31"/>
      <c r="X31"/>
      <c r="Y31"/>
      <c r="Z31"/>
      <c r="AA31"/>
    </row>
    <row r="32" spans="1:27" ht="15">
      <c r="A32" s="93"/>
      <c r="B32" s="126" t="s">
        <v>77</v>
      </c>
      <c r="C32" s="127"/>
      <c r="D32" s="122"/>
      <c r="E32" s="132">
        <v>0.25</v>
      </c>
      <c r="F32" s="58"/>
      <c r="G32" s="58"/>
      <c r="H32" s="58"/>
      <c r="I32" s="58"/>
      <c r="J32" s="58"/>
      <c r="K32" s="58"/>
      <c r="L32" s="58"/>
      <c r="M32" s="58"/>
      <c r="N32" s="84"/>
      <c r="O32" s="94"/>
      <c r="T32" s="107"/>
      <c r="U32" s="108"/>
      <c r="V32" s="108"/>
      <c r="W32"/>
      <c r="X32"/>
      <c r="Y32"/>
      <c r="Z32"/>
      <c r="AA32"/>
    </row>
    <row r="33" spans="1:27" ht="15">
      <c r="A33" s="93"/>
      <c r="B33" s="126" t="s">
        <v>78</v>
      </c>
      <c r="C33" s="127"/>
      <c r="D33" s="128"/>
      <c r="E33" s="132">
        <v>0.09</v>
      </c>
      <c r="F33" s="54"/>
      <c r="G33" s="58"/>
      <c r="H33" s="58"/>
      <c r="I33" s="58"/>
      <c r="J33" s="58"/>
      <c r="K33" s="58"/>
      <c r="L33" s="58"/>
      <c r="M33" s="58"/>
      <c r="N33" s="84"/>
      <c r="O33" s="94"/>
      <c r="T33" s="107"/>
      <c r="U33" s="108"/>
      <c r="V33" s="108"/>
      <c r="W33"/>
      <c r="X33"/>
      <c r="Y33"/>
      <c r="Z33"/>
      <c r="AA33"/>
    </row>
    <row r="34" spans="1:15" ht="15.75" thickBot="1">
      <c r="A34" s="93"/>
      <c r="B34" s="126" t="s">
        <v>84</v>
      </c>
      <c r="C34" s="127"/>
      <c r="D34" s="128"/>
      <c r="E34" s="133">
        <v>0.02</v>
      </c>
      <c r="F34" s="54"/>
      <c r="G34" s="58"/>
      <c r="H34" s="58"/>
      <c r="I34" s="58"/>
      <c r="J34" s="58"/>
      <c r="K34" s="58"/>
      <c r="L34" s="58"/>
      <c r="M34" s="58"/>
      <c r="N34" s="84"/>
      <c r="O34" s="94"/>
    </row>
    <row r="35" spans="1:15" ht="15.75" thickBot="1">
      <c r="A35" s="93"/>
      <c r="B35" s="126" t="s">
        <v>83</v>
      </c>
      <c r="C35" s="127"/>
      <c r="D35" s="128"/>
      <c r="E35" s="134">
        <v>0.1</v>
      </c>
      <c r="F35" s="54"/>
      <c r="G35" s="58"/>
      <c r="H35" s="58"/>
      <c r="I35" s="58"/>
      <c r="J35" s="58"/>
      <c r="K35" s="58"/>
      <c r="L35" s="58"/>
      <c r="M35" s="101">
        <f>'Five Yr - Savings'!H29</f>
        <v>208496.4782914212</v>
      </c>
      <c r="N35" s="84"/>
      <c r="O35" s="94"/>
    </row>
    <row r="36" spans="1:15" ht="15.75" thickBot="1">
      <c r="A36" s="93"/>
      <c r="B36" s="129" t="s">
        <v>80</v>
      </c>
      <c r="C36" s="130"/>
      <c r="D36" s="131"/>
      <c r="E36" s="134">
        <v>0.3</v>
      </c>
      <c r="F36" s="87"/>
      <c r="G36" s="88"/>
      <c r="H36" s="88"/>
      <c r="I36" s="88"/>
      <c r="J36" s="88"/>
      <c r="K36" s="88"/>
      <c r="L36" s="88"/>
      <c r="M36" s="88"/>
      <c r="N36" s="89"/>
      <c r="O36" s="94"/>
    </row>
    <row r="37" spans="1:15" ht="15">
      <c r="A37" s="93"/>
      <c r="B37" s="57"/>
      <c r="C37" s="57"/>
      <c r="D37" s="57"/>
      <c r="E37" s="57"/>
      <c r="F37" s="57"/>
      <c r="G37" s="57"/>
      <c r="H37" s="57"/>
      <c r="I37" s="57"/>
      <c r="J37" s="57"/>
      <c r="K37" s="57"/>
      <c r="L37" s="57"/>
      <c r="M37" s="57"/>
      <c r="N37" s="57"/>
      <c r="O37" s="94"/>
    </row>
    <row r="38" spans="1:15" ht="42" customHeight="1" thickBot="1">
      <c r="A38" s="97"/>
      <c r="B38" s="98"/>
      <c r="C38" s="99"/>
      <c r="D38" s="99"/>
      <c r="E38" s="99"/>
      <c r="F38" s="99"/>
      <c r="G38" s="99"/>
      <c r="H38" s="99"/>
      <c r="I38" s="99"/>
      <c r="J38" s="99"/>
      <c r="K38" s="99"/>
      <c r="L38" s="99"/>
      <c r="M38" s="99"/>
      <c r="N38" s="99"/>
      <c r="O38" s="100"/>
    </row>
  </sheetData>
  <sheetProtection sheet="1" objects="1" scenarios="1" selectLockedCells="1"/>
  <mergeCells count="2">
    <mergeCell ref="B3:N3"/>
    <mergeCell ref="B5:N6"/>
  </mergeCells>
  <dataValidations count="3">
    <dataValidation type="list" allowBlank="1" showInputMessage="1" showErrorMessage="1" sqref="L18">
      <formula1>opa</formula1>
    </dataValidation>
    <dataValidation type="list" allowBlank="1" showInputMessage="1" showErrorMessage="1" sqref="L19">
      <formula1>$S$6:$S$8</formula1>
    </dataValidation>
    <dataValidation type="list" allowBlank="1" showInputMessage="1" showErrorMessage="1" sqref="L20">
      <formula1>$S$10:$S$12</formula1>
    </dataValidation>
  </dataValidations>
  <printOptions/>
  <pageMargins left="0.25" right="0" top="0.25" bottom="0.25" header="0" footer="0"/>
  <pageSetup fitToHeight="1" fitToWidth="1" horizontalDpi="600" verticalDpi="600" orientation="landscape" scale="90" r:id="rId2"/>
  <drawing r:id="rId1"/>
</worksheet>
</file>

<file path=xl/worksheets/sheet2.xml><?xml version="1.0" encoding="utf-8"?>
<worksheet xmlns="http://schemas.openxmlformats.org/spreadsheetml/2006/main" xmlns:r="http://schemas.openxmlformats.org/officeDocument/2006/relationships">
  <sheetPr>
    <tabColor rgb="FFFF0000"/>
  </sheetPr>
  <dimension ref="A3:D33"/>
  <sheetViews>
    <sheetView zoomScalePageLayoutView="0" workbookViewId="0" topLeftCell="A7">
      <selection activeCell="C42" sqref="C42:C43"/>
    </sheetView>
  </sheetViews>
  <sheetFormatPr defaultColWidth="9.140625" defaultRowHeight="15"/>
  <cols>
    <col min="1" max="1" width="19.28125" style="0" customWidth="1"/>
    <col min="2" max="2" width="22.00390625" style="0" bestFit="1" customWidth="1"/>
    <col min="3" max="3" width="25.00390625" style="0" bestFit="1" customWidth="1"/>
    <col min="4" max="4" width="15.7109375" style="0" bestFit="1" customWidth="1"/>
    <col min="7" max="7" width="8.421875" style="0" customWidth="1"/>
  </cols>
  <sheetData>
    <row r="3" ht="15.75" thickBot="1">
      <c r="A3" s="59" t="s">
        <v>85</v>
      </c>
    </row>
    <row r="4" spans="1:2" ht="15">
      <c r="A4" s="62"/>
      <c r="B4" s="63">
        <v>0.5</v>
      </c>
    </row>
    <row r="5" spans="1:2" ht="15">
      <c r="A5" s="64" t="s">
        <v>4</v>
      </c>
      <c r="B5" s="65">
        <v>1</v>
      </c>
    </row>
    <row r="6" spans="1:2" ht="15">
      <c r="A6" s="64" t="s">
        <v>5</v>
      </c>
      <c r="B6" s="65">
        <v>0.2</v>
      </c>
    </row>
    <row r="7" spans="1:2" ht="15.75" thickBot="1">
      <c r="A7" s="66" t="s">
        <v>6</v>
      </c>
      <c r="B7" s="67">
        <v>0.05</v>
      </c>
    </row>
    <row r="8" spans="1:2" ht="15">
      <c r="A8" s="68"/>
      <c r="B8" s="63">
        <v>0.25</v>
      </c>
    </row>
    <row r="9" spans="1:2" ht="15">
      <c r="A9" s="64" t="s">
        <v>12</v>
      </c>
      <c r="B9" s="65">
        <v>0.6</v>
      </c>
    </row>
    <row r="10" spans="1:2" ht="15">
      <c r="A10" s="69" t="s">
        <v>88</v>
      </c>
      <c r="B10" s="65">
        <v>0.2</v>
      </c>
    </row>
    <row r="11" spans="1:2" ht="15.75" thickBot="1">
      <c r="A11" s="66" t="s">
        <v>7</v>
      </c>
      <c r="B11" s="67">
        <v>0.1</v>
      </c>
    </row>
    <row r="12" spans="1:2" ht="15">
      <c r="A12" s="62"/>
      <c r="B12" s="63">
        <v>0.25</v>
      </c>
    </row>
    <row r="13" spans="1:2" ht="15">
      <c r="A13" s="64" t="s">
        <v>8</v>
      </c>
      <c r="B13" s="65">
        <v>0.75</v>
      </c>
    </row>
    <row r="14" spans="1:2" ht="15">
      <c r="A14" s="64" t="s">
        <v>9</v>
      </c>
      <c r="B14" s="65">
        <v>0.35</v>
      </c>
    </row>
    <row r="15" spans="1:2" ht="15.75" thickBot="1">
      <c r="A15" s="66" t="s">
        <v>10</v>
      </c>
      <c r="B15" s="67">
        <v>0.1</v>
      </c>
    </row>
    <row r="17" ht="15">
      <c r="A17" s="60" t="s">
        <v>86</v>
      </c>
    </row>
    <row r="19" spans="1:4" ht="15">
      <c r="A19" s="56" t="s">
        <v>68</v>
      </c>
      <c r="B19" s="71" t="s">
        <v>2</v>
      </c>
      <c r="C19" s="71" t="s">
        <v>1</v>
      </c>
      <c r="D19" s="71" t="s">
        <v>0</v>
      </c>
    </row>
    <row r="20" spans="1:4" ht="15">
      <c r="A20" s="56" t="s">
        <v>69</v>
      </c>
      <c r="B20" s="70">
        <f>(('Cost Savings Model'!L12)+IF('Cost Savings Model'!S17=1,('Cost Savings Model'!L10),('Cost Savings Model'!T20*('Cost Savings Model'!L10-'Cost Savings Model'!L12)*0.5)))</f>
        <v>11.8125</v>
      </c>
      <c r="C20" s="70">
        <f>(('Cost Savings Model'!L12)+IF('Cost Savings Model'!S17=1,('Cost Savings Model'!L10),('Cost Savings Model'!T20*('Cost Savings Model'!L10-'Cost Savings Model'!L12)*0.75)))</f>
        <v>17.71875</v>
      </c>
      <c r="D20" s="70">
        <f>(('Cost Savings Model'!L12)+IF('Cost Savings Model'!S17=1,('Cost Savings Model'!L10),('Cost Savings Model'!T20*('Cost Savings Model'!L10-'Cost Savings Model'!L12)*1)))</f>
        <v>23.625</v>
      </c>
    </row>
    <row r="21" spans="1:4" ht="15">
      <c r="A21" s="56" t="s">
        <v>70</v>
      </c>
      <c r="B21" s="70">
        <f>B22-B20</f>
        <v>58.1875</v>
      </c>
      <c r="C21" s="70">
        <f>C22-C20</f>
        <v>52.28125</v>
      </c>
      <c r="D21" s="70">
        <f>D22-D20</f>
        <v>46.375</v>
      </c>
    </row>
    <row r="22" spans="1:4" ht="15">
      <c r="A22" s="56" t="s">
        <v>71</v>
      </c>
      <c r="B22" s="72">
        <f>'Cost Savings Model'!$L$10</f>
        <v>70</v>
      </c>
      <c r="C22" s="72">
        <f>'Cost Savings Model'!$L$10</f>
        <v>70</v>
      </c>
      <c r="D22" s="72">
        <f>'Cost Savings Model'!$L$10</f>
        <v>70</v>
      </c>
    </row>
    <row r="23" spans="1:4" ht="15">
      <c r="A23" s="56" t="s">
        <v>72</v>
      </c>
      <c r="B23" s="73">
        <f>B20/B22</f>
        <v>0.16875</v>
      </c>
      <c r="C23" s="73">
        <f>C20/C22</f>
        <v>0.253125</v>
      </c>
      <c r="D23" s="73">
        <f>D20/D22</f>
        <v>0.3375</v>
      </c>
    </row>
    <row r="26" ht="15">
      <c r="A26" s="61" t="s">
        <v>87</v>
      </c>
    </row>
    <row r="28" spans="1:4" ht="15">
      <c r="A28" s="55"/>
      <c r="B28" s="71" t="s">
        <v>66</v>
      </c>
      <c r="C28" s="71" t="s">
        <v>65</v>
      </c>
      <c r="D28" s="76" t="s">
        <v>67</v>
      </c>
    </row>
    <row r="29" spans="1:4" ht="15">
      <c r="A29" s="55" t="s">
        <v>60</v>
      </c>
      <c r="B29" s="77">
        <f>'Five Yr - Savings'!C4</f>
        <v>6670.8</v>
      </c>
      <c r="C29" s="78">
        <f>'Five Yr - Savings'!C47</f>
        <v>6450.644531250001</v>
      </c>
      <c r="D29" s="79">
        <f>'Five Yr - Savings'!C41</f>
        <v>382.5</v>
      </c>
    </row>
    <row r="30" spans="1:4" ht="15">
      <c r="A30" s="55" t="s">
        <v>61</v>
      </c>
      <c r="B30" s="77">
        <f>'Five Yr - Savings'!D4</f>
        <v>7271.1720000000005</v>
      </c>
      <c r="C30" s="78">
        <f>'Five Yr - Savings'!D47</f>
        <v>6905.691156250002</v>
      </c>
      <c r="D30" s="79">
        <f>'Five Yr - Savings'!D41</f>
        <v>662.1650442477876</v>
      </c>
    </row>
    <row r="31" spans="1:4" ht="15">
      <c r="A31" s="55" t="s">
        <v>62</v>
      </c>
      <c r="B31" s="77">
        <f>'Five Yr - Savings'!E4</f>
        <v>7925.577480000001</v>
      </c>
      <c r="C31" s="78">
        <f>'Five Yr - Savings'!E47</f>
        <v>7374.9845675000015</v>
      </c>
      <c r="D31" s="79">
        <f>'Five Yr - Savings'!E41</f>
        <v>908.8527103448276</v>
      </c>
    </row>
    <row r="32" spans="1:4" ht="15">
      <c r="A32" s="55" t="s">
        <v>63</v>
      </c>
      <c r="B32" s="77">
        <f>'Five Yr - Savings'!F4</f>
        <v>8638.879453200001</v>
      </c>
      <c r="C32" s="78">
        <f>'Five Yr - Savings'!F47</f>
        <v>7858.185971362503</v>
      </c>
      <c r="D32" s="79">
        <f>'Five Yr - Savings'!F41</f>
        <v>1141.9311630508478</v>
      </c>
    </row>
    <row r="33" spans="1:4" ht="15">
      <c r="A33" s="55" t="s">
        <v>64</v>
      </c>
      <c r="B33" s="77">
        <f>'Five Yr - Savings'!G4</f>
        <v>9416.378603988001</v>
      </c>
      <c r="C33" s="78">
        <f>'Five Yr - Savings'!G47</f>
        <v>8354.78019237663</v>
      </c>
      <c r="D33" s="79">
        <f>'Five Yr - Savings'!G41</f>
        <v>1368.9318285990432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J50"/>
  <sheetViews>
    <sheetView zoomScalePageLayoutView="0" workbookViewId="0" topLeftCell="A1">
      <selection activeCell="B5" sqref="B5"/>
    </sheetView>
  </sheetViews>
  <sheetFormatPr defaultColWidth="9.140625" defaultRowHeight="15"/>
  <cols>
    <col min="1" max="1" width="40.57421875" style="0" customWidth="1"/>
    <col min="2" max="2" width="13.57421875" style="0" customWidth="1"/>
    <col min="3" max="3" width="12.7109375" style="0" customWidth="1"/>
    <col min="4" max="4" width="13.28125" style="0" customWidth="1"/>
    <col min="5" max="5" width="13.140625" style="0" customWidth="1"/>
    <col min="6" max="6" width="13.57421875" style="0" customWidth="1"/>
    <col min="7" max="7" width="13.00390625" style="0" customWidth="1"/>
    <col min="8" max="8" width="14.57421875" style="0" customWidth="1"/>
    <col min="9" max="9" width="10.140625" style="0" bestFit="1" customWidth="1"/>
    <col min="10" max="10" width="11.140625" style="0" customWidth="1"/>
  </cols>
  <sheetData>
    <row r="1" spans="1:8" s="3" customFormat="1" ht="28.5" customHeight="1">
      <c r="A1" s="139" t="s">
        <v>13</v>
      </c>
      <c r="B1" s="139"/>
      <c r="C1" s="139"/>
      <c r="D1" s="139"/>
      <c r="E1" s="139"/>
      <c r="F1" s="139"/>
      <c r="G1" s="139"/>
      <c r="H1" s="140"/>
    </row>
    <row r="2" spans="1:8" s="7" customFormat="1" ht="33" customHeight="1">
      <c r="A2" s="4" t="s">
        <v>14</v>
      </c>
      <c r="B2" s="75" t="s">
        <v>94</v>
      </c>
      <c r="C2" s="5" t="s">
        <v>93</v>
      </c>
      <c r="D2" s="5" t="s">
        <v>92</v>
      </c>
      <c r="E2" s="5" t="s">
        <v>91</v>
      </c>
      <c r="F2" s="5" t="s">
        <v>90</v>
      </c>
      <c r="G2" s="5" t="s">
        <v>89</v>
      </c>
      <c r="H2" s="6" t="s">
        <v>15</v>
      </c>
    </row>
    <row r="3" spans="1:7" ht="15">
      <c r="A3" s="8" t="s">
        <v>16</v>
      </c>
      <c r="B3" s="9">
        <f>'Cost Savings Model'!L10</f>
        <v>70</v>
      </c>
      <c r="C3" s="1"/>
      <c r="D3" s="1"/>
      <c r="E3" s="1"/>
      <c r="F3" s="1"/>
      <c r="G3" s="1"/>
    </row>
    <row r="4" spans="1:7" ht="15">
      <c r="A4" t="s">
        <v>17</v>
      </c>
      <c r="B4" s="10">
        <f>(('Cost Savings Model'!L11)/B3)*12</f>
        <v>6120</v>
      </c>
      <c r="C4" s="11">
        <f>B4*(1+$B$5)</f>
        <v>6670.8</v>
      </c>
      <c r="D4" s="11">
        <f>C4*(1+$B$5)</f>
        <v>7271.1720000000005</v>
      </c>
      <c r="E4" s="11">
        <f>D4*(1+$B$5)</f>
        <v>7925.577480000001</v>
      </c>
      <c r="F4" s="11">
        <f>E4*(1+$B$5)</f>
        <v>8638.879453200001</v>
      </c>
      <c r="G4" s="11">
        <f>F4*(1+$B$5)</f>
        <v>9416.378603988001</v>
      </c>
    </row>
    <row r="5" spans="1:10" ht="15">
      <c r="A5" t="s">
        <v>18</v>
      </c>
      <c r="B5" s="12">
        <f>'Cost Savings Model'!E31</f>
        <v>0.09</v>
      </c>
      <c r="C5" s="13">
        <f>$B$5</f>
        <v>0.09</v>
      </c>
      <c r="D5" s="13">
        <f>$B$5</f>
        <v>0.09</v>
      </c>
      <c r="E5" s="13">
        <f>$B$5</f>
        <v>0.09</v>
      </c>
      <c r="F5" s="13">
        <f>$B$5</f>
        <v>0.09</v>
      </c>
      <c r="G5" s="13">
        <f>$B$5</f>
        <v>0.09</v>
      </c>
      <c r="I5" s="14"/>
      <c r="J5" s="14"/>
    </row>
    <row r="6" spans="1:7" ht="15">
      <c r="A6" t="s">
        <v>96</v>
      </c>
      <c r="B6" s="15">
        <f>('Cost Savings Model'!E25)/'Cost Savings Model'!L10</f>
        <v>0.253125</v>
      </c>
      <c r="C6" s="16"/>
      <c r="D6" s="16"/>
      <c r="E6" s="16"/>
      <c r="F6" s="16"/>
      <c r="G6" s="16"/>
    </row>
    <row r="7" spans="1:9" ht="15">
      <c r="A7" t="s">
        <v>19</v>
      </c>
      <c r="B7" s="15">
        <f>'Cost Savings Model'!E35</f>
        <v>0.1</v>
      </c>
      <c r="C7" s="17"/>
      <c r="D7" s="17"/>
      <c r="E7" s="17"/>
      <c r="F7" s="17"/>
      <c r="G7" s="17"/>
      <c r="I7" s="18"/>
    </row>
    <row r="8" spans="1:7" ht="15">
      <c r="A8" t="s">
        <v>98</v>
      </c>
      <c r="B8" s="19">
        <f>'Cost Savings Model'!L15</f>
        <v>0.3</v>
      </c>
      <c r="C8" s="20">
        <f>B4*(1+($C5-$B8))</f>
        <v>4834.8</v>
      </c>
      <c r="D8" s="21">
        <f>C8*(1+$B$9)</f>
        <v>5269.932000000001</v>
      </c>
      <c r="E8" s="21">
        <f>D8*(1+$B$9)</f>
        <v>5744.225880000001</v>
      </c>
      <c r="F8" s="21">
        <f>E8*(1+$B$9)</f>
        <v>6261.2062092000015</v>
      </c>
      <c r="G8" s="21">
        <f>F8*(1+$B$9)</f>
        <v>6824.714768028002</v>
      </c>
    </row>
    <row r="9" spans="1:7" ht="15">
      <c r="A9" t="s">
        <v>20</v>
      </c>
      <c r="B9" s="22">
        <f>'Cost Savings Model'!E33</f>
        <v>0.09</v>
      </c>
      <c r="C9" s="23"/>
      <c r="D9" s="24">
        <f>C4*(1+($D5-$B8))</f>
        <v>5269.932000000001</v>
      </c>
      <c r="E9" s="21">
        <f>D9*(1+$B$9)</f>
        <v>5744.225880000001</v>
      </c>
      <c r="F9" s="21">
        <f>E9*(1+$B$9)</f>
        <v>6261.2062092000015</v>
      </c>
      <c r="G9" s="21">
        <f>F9*(1+$B$9)</f>
        <v>6824.714768028002</v>
      </c>
    </row>
    <row r="10" spans="1:7" ht="15">
      <c r="A10" t="s">
        <v>21</v>
      </c>
      <c r="B10" s="25">
        <f>'Cost Savings Model'!L13</f>
        <v>1000</v>
      </c>
      <c r="C10" s="26"/>
      <c r="D10" s="26"/>
      <c r="E10" s="24">
        <f>D4*(1+($E5-$B8))</f>
        <v>5744.225880000001</v>
      </c>
      <c r="F10" s="21">
        <f>E10*(1+$B$9)</f>
        <v>6261.2062092000015</v>
      </c>
      <c r="G10" s="21">
        <f>F10*(1+$B$9)</f>
        <v>6824.714768028002</v>
      </c>
    </row>
    <row r="11" spans="1:7" ht="15">
      <c r="A11" t="s">
        <v>22</v>
      </c>
      <c r="B11" s="25">
        <f>'Cost Savings Model'!L14</f>
        <v>500</v>
      </c>
      <c r="C11" s="27"/>
      <c r="D11" s="27"/>
      <c r="E11" s="27"/>
      <c r="F11" s="24">
        <f>E4*(1+($F5-$B8))</f>
        <v>6261.206209200001</v>
      </c>
      <c r="G11" s="21">
        <f>F11*(1+$B$9)</f>
        <v>6824.714768028001</v>
      </c>
    </row>
    <row r="12" spans="1:7" ht="15">
      <c r="A12" t="s">
        <v>23</v>
      </c>
      <c r="B12" s="15">
        <f>'Cost Savings Model'!E32</f>
        <v>0.25</v>
      </c>
      <c r="C12" s="27"/>
      <c r="D12" s="27"/>
      <c r="E12" s="27"/>
      <c r="F12" s="27"/>
      <c r="G12" s="24">
        <f>F4*(1+($G5-$B8))</f>
        <v>6824.714768028001</v>
      </c>
    </row>
    <row r="13" spans="1:7" ht="15">
      <c r="A13" s="8" t="s">
        <v>24</v>
      </c>
      <c r="B13" s="15">
        <f>'Cost Savings Model'!E36</f>
        <v>0.3</v>
      </c>
      <c r="C13" s="27"/>
      <c r="D13" s="27"/>
      <c r="E13" s="26"/>
      <c r="F13" s="27"/>
      <c r="G13" s="28"/>
    </row>
    <row r="14" spans="1:7" ht="15">
      <c r="A14" s="8" t="s">
        <v>25</v>
      </c>
      <c r="B14" s="15">
        <f>'Cost Savings Model'!E34</f>
        <v>0.02</v>
      </c>
      <c r="C14" s="28"/>
      <c r="D14" s="1"/>
      <c r="E14" s="1"/>
      <c r="F14" s="1"/>
      <c r="G14" s="1"/>
    </row>
    <row r="15" spans="1:7" ht="15">
      <c r="A15" s="8"/>
      <c r="B15" s="29"/>
      <c r="C15" s="28"/>
      <c r="D15" s="1"/>
      <c r="E15" s="1"/>
      <c r="F15" s="1"/>
      <c r="G15" s="1"/>
    </row>
    <row r="16" spans="1:7" ht="15">
      <c r="A16" s="8"/>
      <c r="B16" s="30"/>
      <c r="C16" s="28"/>
      <c r="D16" s="1"/>
      <c r="E16" s="1"/>
      <c r="F16" s="1"/>
      <c r="G16" s="1"/>
    </row>
    <row r="17" spans="1:8" s="31" customFormat="1" ht="21.75" customHeight="1">
      <c r="A17" s="4" t="s">
        <v>26</v>
      </c>
      <c r="B17" s="5" t="s">
        <v>95</v>
      </c>
      <c r="C17" s="5" t="s">
        <v>93</v>
      </c>
      <c r="D17" s="5" t="s">
        <v>92</v>
      </c>
      <c r="E17" s="5" t="s">
        <v>91</v>
      </c>
      <c r="F17" s="5" t="s">
        <v>90</v>
      </c>
      <c r="G17" s="5" t="s">
        <v>89</v>
      </c>
      <c r="H17" s="5" t="s">
        <v>27</v>
      </c>
    </row>
    <row r="18" spans="1:8" ht="15">
      <c r="A18" s="2" t="s">
        <v>28</v>
      </c>
      <c r="B18" s="32">
        <f>B3*B4</f>
        <v>428400</v>
      </c>
      <c r="C18" s="33">
        <f>B18*(1+$B$5)</f>
        <v>466956.00000000006</v>
      </c>
      <c r="D18" s="33">
        <f>C18*(1+$B$5)</f>
        <v>508982.0400000001</v>
      </c>
      <c r="E18" s="33">
        <f>D18*(1+$B$5)</f>
        <v>554790.4236000001</v>
      </c>
      <c r="F18" s="33">
        <f>E18*(1+$B$5)</f>
        <v>604721.5617240001</v>
      </c>
      <c r="G18" s="33">
        <f>F18*(1+$B$5)</f>
        <v>659146.5022791602</v>
      </c>
      <c r="H18" s="34">
        <f>SUM(B18:G18)</f>
        <v>3222996.52760316</v>
      </c>
    </row>
    <row r="19" spans="1:8" ht="15">
      <c r="A19" t="s">
        <v>29</v>
      </c>
      <c r="B19" s="35"/>
      <c r="C19" s="35">
        <f>$B$3*C20</f>
        <v>17.71875</v>
      </c>
      <c r="D19" s="35">
        <f>$B$3*D20</f>
        <v>24.71875</v>
      </c>
      <c r="E19" s="35">
        <f>$B$3*E20</f>
        <v>31.71875</v>
      </c>
      <c r="F19" s="35">
        <f>$B$3*F20</f>
        <v>38.71875</v>
      </c>
      <c r="G19" s="35">
        <f>$B$3*G20</f>
        <v>45.71875</v>
      </c>
      <c r="H19" s="35">
        <f>G19</f>
        <v>45.71875</v>
      </c>
    </row>
    <row r="20" spans="1:8" ht="15">
      <c r="A20" t="s">
        <v>30</v>
      </c>
      <c r="B20" s="36"/>
      <c r="C20" s="36">
        <f>B6</f>
        <v>0.253125</v>
      </c>
      <c r="D20" s="36">
        <f>IF(+C$20+$B$7&gt;1,1,C$20+$B$7)</f>
        <v>0.353125</v>
      </c>
      <c r="E20" s="37">
        <f>IF(+D$20+$B$7&gt;1,1,D$20+$B$7)</f>
        <v>0.453125</v>
      </c>
      <c r="F20" s="36">
        <f>IF(+E$20+$B$7&gt;1,1,E$20+$B$7)</f>
        <v>0.553125</v>
      </c>
      <c r="G20" s="36">
        <f>IF(+F$20+$B$7&gt;1,1,F$20+$B$7)</f>
        <v>0.653125</v>
      </c>
      <c r="H20" s="38">
        <f>G20</f>
        <v>0.653125</v>
      </c>
    </row>
    <row r="21" spans="1:8" ht="15">
      <c r="A21" t="s">
        <v>31</v>
      </c>
      <c r="B21" s="39"/>
      <c r="C21" s="40">
        <f>(C4-C8)*($B$3*$B$6)</f>
        <v>32531.625</v>
      </c>
      <c r="D21" s="40">
        <f>(D4-D8)*($B$3*$B$6)</f>
        <v>35459.471249999995</v>
      </c>
      <c r="E21" s="40">
        <f>(E4-E8)*($B$3*$B$6)</f>
        <v>38650.8236625</v>
      </c>
      <c r="F21" s="40">
        <f>(F4-F8)*($B$3*$B$6)</f>
        <v>42129.39779212499</v>
      </c>
      <c r="G21" s="40">
        <f>(G4-G8)*($B$3*$B$6)</f>
        <v>45921.04359341624</v>
      </c>
      <c r="H21" s="41">
        <f aca="true" t="shared" si="0" ref="H21:H26">SUM(C21:G21)</f>
        <v>194692.36129804124</v>
      </c>
    </row>
    <row r="22" spans="1:8" ht="15">
      <c r="A22" t="s">
        <v>32</v>
      </c>
      <c r="B22" s="39"/>
      <c r="C22" s="39"/>
      <c r="D22" s="42">
        <f>IF($C$20=1,0,IF(1-$C$20&lt;$B$7,(D4-D9)*($B$3*(1-$C$20)),(D4-D9)*($B$3*$B$7)))</f>
        <v>14008.679999999998</v>
      </c>
      <c r="E22" s="42">
        <f>IF($C$20=1,0,IF(1-$C$20&lt;$B$7,(E4-E9)*($B$3*(1-$C$20)),(E4-E9)*($B$3*$B$7)))</f>
        <v>15269.4612</v>
      </c>
      <c r="F22" s="42">
        <f>IF($C$20=1,0,IF(1-$C$20&lt;$B$7,(F4-F9)*($B$3*(1-$C$20)),(F4-F9)*($B$3*$B$7)))</f>
        <v>16643.712708</v>
      </c>
      <c r="G22" s="42">
        <f>IF($C$20=1,0,IF(1-$C$20&lt;$B$7,(G4-G9)*($B$3*(1-$C$20)),(G4-G9)*($B$3*$B$7)))</f>
        <v>18141.646851719994</v>
      </c>
      <c r="H22" s="18">
        <f t="shared" si="0"/>
        <v>64063.50075971999</v>
      </c>
    </row>
    <row r="23" spans="1:8" ht="15">
      <c r="A23" t="s">
        <v>33</v>
      </c>
      <c r="B23" s="39"/>
      <c r="C23" s="39"/>
      <c r="D23" s="39"/>
      <c r="E23" s="42">
        <f>IF($D$20=1,0,IF(1-$D$20&lt;$B$7,(E4-E10)*($B$3*(1-$D$20)),(E4-E10)*($B$3*$B$7)))</f>
        <v>15269.4612</v>
      </c>
      <c r="F23" s="42">
        <f>IF($D$20=1,0,IF(1-$D$20&lt;$B$7,(F4-F10)*($B$3*(1-$D$20)),(F4-F10)*($B$3*$B$7)))</f>
        <v>16643.712708</v>
      </c>
      <c r="G23" s="42">
        <f>IF($D$20=1,0,IF(1-$D$20&lt;$B$7,(G4-G10)*($B$3*(1-$D$20)),(G4-G10)*($B$3*$B$7)))</f>
        <v>18141.646851719994</v>
      </c>
      <c r="H23" s="18">
        <f t="shared" si="0"/>
        <v>50054.820759719994</v>
      </c>
    </row>
    <row r="24" spans="1:8" ht="15">
      <c r="A24" t="s">
        <v>34</v>
      </c>
      <c r="B24" s="39"/>
      <c r="C24" s="39"/>
      <c r="D24" s="39"/>
      <c r="E24" s="39"/>
      <c r="F24" s="42">
        <f>IF($E$20=1,0,IF(1-$E$20&lt;B7,(F4-F11)*($B$3*(1-$E$20)),(F4-F11)*($B$3*$B$7)))</f>
        <v>16643.712708000003</v>
      </c>
      <c r="G24" s="42">
        <f>IF($E$20=1,0,IF(1-$E$20&lt;C7,(G4-G11)*($B$3*(1-$E$20)),(G4-G11)*($B$3*$B$7)))</f>
        <v>18141.64685172</v>
      </c>
      <c r="H24" s="18">
        <f t="shared" si="0"/>
        <v>34785.359559720004</v>
      </c>
    </row>
    <row r="25" spans="1:8" ht="15">
      <c r="A25" t="s">
        <v>35</v>
      </c>
      <c r="B25" s="39"/>
      <c r="C25" s="39"/>
      <c r="D25" s="39"/>
      <c r="E25" s="39"/>
      <c r="F25" s="39"/>
      <c r="G25" s="42">
        <f>IF($F$20=1,0,IF(1-$F$20&lt;$B$7,(G4-G12)*($B$3*(1-$F$20)),(G4-G12)*($B$3*$B$7)))</f>
        <v>18141.64685172</v>
      </c>
      <c r="H25" s="18">
        <f t="shared" si="0"/>
        <v>18141.64685172</v>
      </c>
    </row>
    <row r="26" spans="1:8" ht="15">
      <c r="A26" t="s">
        <v>36</v>
      </c>
      <c r="B26" s="39"/>
      <c r="C26" s="39">
        <f>C19*$B$11*0.075*0.9</f>
        <v>598.0078125</v>
      </c>
      <c r="D26" s="39">
        <f>D19*$B$11*0.075*0.9</f>
        <v>834.2578125</v>
      </c>
      <c r="E26" s="39">
        <f>E19*$B$11*0.075*0.9</f>
        <v>1070.5078125</v>
      </c>
      <c r="F26" s="39">
        <f>F19*$B$11*0.075*0.9</f>
        <v>1306.7578125</v>
      </c>
      <c r="G26" s="39">
        <f>G19*$B$11*0.075*0.9</f>
        <v>1543.0078125</v>
      </c>
      <c r="H26" s="39">
        <f t="shared" si="0"/>
        <v>5352.5390625</v>
      </c>
    </row>
    <row r="27" spans="1:8" ht="15">
      <c r="A27" s="43" t="s">
        <v>37</v>
      </c>
      <c r="B27" s="44"/>
      <c r="C27" s="45">
        <f>SUM(C21:C26)</f>
        <v>33129.6328125</v>
      </c>
      <c r="D27" s="45">
        <f>SUM(D21:D26)</f>
        <v>50302.409062499995</v>
      </c>
      <c r="E27" s="45">
        <f>SUM(E21:E26)</f>
        <v>70260.253875</v>
      </c>
      <c r="F27" s="45">
        <f>SUM(F21:F26)</f>
        <v>93367.293728625</v>
      </c>
      <c r="G27" s="45">
        <f>SUM(G21:G26)</f>
        <v>120030.63881279623</v>
      </c>
      <c r="H27" s="45">
        <f>SUM(C27:G27)</f>
        <v>367090.2282914212</v>
      </c>
    </row>
    <row r="28" spans="1:8" ht="15">
      <c r="A28" t="s">
        <v>38</v>
      </c>
      <c r="B28" s="18"/>
      <c r="C28" s="18">
        <f>C19*$B$10</f>
        <v>17718.75</v>
      </c>
      <c r="D28" s="18">
        <f>D19*$B$10</f>
        <v>24718.75</v>
      </c>
      <c r="E28" s="18">
        <f>E19*$B$10</f>
        <v>31718.75</v>
      </c>
      <c r="F28" s="18">
        <f>F19*$B$10</f>
        <v>38718.75</v>
      </c>
      <c r="G28" s="18">
        <f>G19*$B$10</f>
        <v>45718.75</v>
      </c>
      <c r="H28" s="18">
        <f>SUM(C28:G28)</f>
        <v>158593.75</v>
      </c>
    </row>
    <row r="29" spans="1:8" ht="16.5" customHeight="1">
      <c r="A29" s="2" t="s">
        <v>39</v>
      </c>
      <c r="B29" s="18">
        <v>0</v>
      </c>
      <c r="C29" s="46">
        <f aca="true" t="shared" si="1" ref="C29:H29">C27-C28</f>
        <v>15410.8828125</v>
      </c>
      <c r="D29" s="46">
        <f t="shared" si="1"/>
        <v>25583.659062499995</v>
      </c>
      <c r="E29" s="46">
        <f t="shared" si="1"/>
        <v>38541.503874999995</v>
      </c>
      <c r="F29" s="46">
        <f t="shared" si="1"/>
        <v>54648.543728624994</v>
      </c>
      <c r="G29" s="46">
        <f t="shared" si="1"/>
        <v>74311.88881279623</v>
      </c>
      <c r="H29" s="46">
        <f t="shared" si="1"/>
        <v>208496.4782914212</v>
      </c>
    </row>
    <row r="30" spans="1:8" ht="16.5" customHeight="1">
      <c r="A30" s="2" t="s">
        <v>40</v>
      </c>
      <c r="B30" s="18">
        <f aca="true" t="shared" si="2" ref="B30:G30">B18-B29</f>
        <v>428400</v>
      </c>
      <c r="C30" s="18">
        <f t="shared" si="2"/>
        <v>451545.11718750006</v>
      </c>
      <c r="D30" s="18">
        <f t="shared" si="2"/>
        <v>483398.3809375001</v>
      </c>
      <c r="E30" s="18">
        <f t="shared" si="2"/>
        <v>516248.9197250001</v>
      </c>
      <c r="F30" s="18">
        <f t="shared" si="2"/>
        <v>550073.0179953752</v>
      </c>
      <c r="G30" s="18">
        <f t="shared" si="2"/>
        <v>584834.613466364</v>
      </c>
      <c r="H30" s="18">
        <f>H18-H29</f>
        <v>3014500.049311739</v>
      </c>
    </row>
    <row r="31" spans="1:8" ht="16.5" customHeight="1">
      <c r="A31" s="2"/>
      <c r="B31" s="18"/>
      <c r="C31" s="18"/>
      <c r="D31" s="18"/>
      <c r="E31" s="18"/>
      <c r="F31" s="18"/>
      <c r="G31" s="18"/>
      <c r="H31" s="18"/>
    </row>
    <row r="32" spans="1:8" ht="16.5" customHeight="1">
      <c r="A32" s="2"/>
      <c r="B32" s="18"/>
      <c r="C32" s="18"/>
      <c r="D32" s="18"/>
      <c r="E32" s="18"/>
      <c r="F32" s="18"/>
      <c r="G32" s="18"/>
      <c r="H32" s="18"/>
    </row>
    <row r="33" spans="1:8" ht="15">
      <c r="A33" s="2"/>
      <c r="B33" s="18"/>
      <c r="C33" s="47"/>
      <c r="D33" s="47"/>
      <c r="E33" s="47"/>
      <c r="F33" s="47"/>
      <c r="G33" s="47"/>
      <c r="H33" s="47"/>
    </row>
    <row r="34" spans="1:8" ht="21" customHeight="1">
      <c r="A34" s="4" t="s">
        <v>41</v>
      </c>
      <c r="B34" s="5" t="s">
        <v>95</v>
      </c>
      <c r="C34" s="5" t="s">
        <v>93</v>
      </c>
      <c r="D34" s="5" t="s">
        <v>92</v>
      </c>
      <c r="E34" s="5" t="s">
        <v>91</v>
      </c>
      <c r="F34" s="5" t="s">
        <v>90</v>
      </c>
      <c r="G34" s="5" t="s">
        <v>89</v>
      </c>
      <c r="H34" s="5" t="s">
        <v>27</v>
      </c>
    </row>
    <row r="35" spans="1:8" ht="15">
      <c r="A35" s="48" t="s">
        <v>42</v>
      </c>
      <c r="B35" s="18"/>
      <c r="C35" s="18">
        <f>C19*($B$10+$B$11)</f>
        <v>26578.125</v>
      </c>
      <c r="D35" s="18">
        <f>D19*($B$10+$B$11)</f>
        <v>37078.125</v>
      </c>
      <c r="E35" s="18">
        <f>E19*($B$10+$B$11)</f>
        <v>47578.125</v>
      </c>
      <c r="F35" s="18">
        <f>F19*($B$10+$B$11)</f>
        <v>58078.125</v>
      </c>
      <c r="G35" s="18">
        <f>G19*($B$10+$B$11)</f>
        <v>68578.125</v>
      </c>
      <c r="H35" s="18"/>
    </row>
    <row r="36" spans="1:8" ht="15">
      <c r="A36" t="s">
        <v>43</v>
      </c>
      <c r="B36" s="18"/>
      <c r="C36" s="18">
        <f>C19*($B$11*$B$13)</f>
        <v>2657.8125</v>
      </c>
      <c r="D36" s="18">
        <f>D19*($B$11*$B$13)</f>
        <v>3707.8125</v>
      </c>
      <c r="E36" s="18">
        <f>E19*($B$11*$B$13)</f>
        <v>4757.8125</v>
      </c>
      <c r="F36" s="18">
        <f>F19*($B$11*$B$13)</f>
        <v>5807.8125</v>
      </c>
      <c r="G36" s="18">
        <f>G19*($B$11*$B$13)</f>
        <v>6857.8125</v>
      </c>
      <c r="H36" s="18">
        <f>SUM(C36:G36)</f>
        <v>23789.0625</v>
      </c>
    </row>
    <row r="37" spans="1:8" ht="15">
      <c r="A37" t="s">
        <v>44</v>
      </c>
      <c r="B37" s="18"/>
      <c r="C37" s="18">
        <f>C35*(1-$B$12)</f>
        <v>19933.59375</v>
      </c>
      <c r="D37" s="18">
        <f>D35*(1-$B$12)</f>
        <v>27808.59375</v>
      </c>
      <c r="E37" s="18">
        <f>E35*(1-$B$12)</f>
        <v>35683.59375</v>
      </c>
      <c r="F37" s="18">
        <f>F35*(1-$B$12)</f>
        <v>43558.59375</v>
      </c>
      <c r="G37" s="18">
        <f>G35*(1-$B$12)</f>
        <v>51433.59375</v>
      </c>
      <c r="H37" s="18">
        <f>SUM(C37:G37)</f>
        <v>178417.96875</v>
      </c>
    </row>
    <row r="38" spans="1:8" ht="15">
      <c r="A38" s="8" t="s">
        <v>45</v>
      </c>
      <c r="B38" s="18"/>
      <c r="C38" s="18">
        <f>C35*$B$12</f>
        <v>6644.53125</v>
      </c>
      <c r="D38" s="18">
        <f>D35*$B$12</f>
        <v>9269.53125</v>
      </c>
      <c r="E38" s="18">
        <f>E35*$B$12</f>
        <v>11894.53125</v>
      </c>
      <c r="F38" s="18">
        <f>F35*$B$12</f>
        <v>14519.53125</v>
      </c>
      <c r="G38" s="18">
        <f>G35*$B$12</f>
        <v>17144.53125</v>
      </c>
      <c r="H38" s="18"/>
    </row>
    <row r="39" spans="1:8" ht="15">
      <c r="A39" s="8" t="s">
        <v>46</v>
      </c>
      <c r="B39" s="18"/>
      <c r="C39" s="18">
        <f>$B$14*C38</f>
        <v>132.890625</v>
      </c>
      <c r="D39" s="18">
        <f>$B$14*(D38+C40)</f>
        <v>320.93906250000003</v>
      </c>
      <c r="E39" s="18">
        <f>$B$14*(E38+D40)</f>
        <v>565.24846875</v>
      </c>
      <c r="F39" s="18">
        <f>$B$14*(F38+E40)</f>
        <v>866.9440631250001</v>
      </c>
      <c r="G39" s="18">
        <f>$B$14*(G38+F40)</f>
        <v>1227.1735693875003</v>
      </c>
      <c r="H39" s="18"/>
    </row>
    <row r="40" spans="1:8" ht="15">
      <c r="A40" s="8" t="s">
        <v>47</v>
      </c>
      <c r="B40" s="18"/>
      <c r="C40" s="18">
        <f>C38+C39</f>
        <v>6777.421875</v>
      </c>
      <c r="D40" s="18">
        <f>C40+D38+D39</f>
        <v>16367.8921875</v>
      </c>
      <c r="E40" s="18">
        <f>D40+E38+E39</f>
        <v>28827.67190625</v>
      </c>
      <c r="F40" s="18">
        <f>E40+F38+F39</f>
        <v>44214.14721937501</v>
      </c>
      <c r="G40" s="18">
        <f>F40+G38+G39</f>
        <v>62585.85203876251</v>
      </c>
      <c r="H40" s="18"/>
    </row>
    <row r="41" spans="1:8" ht="15">
      <c r="A41" s="2" t="s">
        <v>48</v>
      </c>
      <c r="B41" s="18"/>
      <c r="C41" s="49">
        <f>C40/C19</f>
        <v>382.5</v>
      </c>
      <c r="D41" s="49">
        <f>D40/D19</f>
        <v>662.1650442477876</v>
      </c>
      <c r="E41" s="49">
        <f>E40/E19</f>
        <v>908.8527103448276</v>
      </c>
      <c r="F41" s="49">
        <f>F40/F19</f>
        <v>1141.9311630508478</v>
      </c>
      <c r="G41" s="49">
        <f>G40/G19</f>
        <v>1368.9318285990432</v>
      </c>
      <c r="H41" s="18"/>
    </row>
    <row r="43" spans="1:8" ht="21" customHeight="1">
      <c r="A43" s="4" t="s">
        <v>49</v>
      </c>
      <c r="B43" s="5" t="s">
        <v>95</v>
      </c>
      <c r="C43" s="5" t="s">
        <v>93</v>
      </c>
      <c r="D43" s="5" t="s">
        <v>92</v>
      </c>
      <c r="E43" s="5" t="s">
        <v>91</v>
      </c>
      <c r="F43" s="5" t="s">
        <v>90</v>
      </c>
      <c r="G43" s="5" t="s">
        <v>89</v>
      </c>
      <c r="H43" s="47"/>
    </row>
    <row r="44" spans="1:8" ht="15">
      <c r="A44" t="s">
        <v>50</v>
      </c>
      <c r="B44" s="18">
        <f>B4</f>
        <v>6120</v>
      </c>
      <c r="C44" s="47">
        <f>(C18-C27)/$B$3</f>
        <v>6197.519531250001</v>
      </c>
      <c r="D44" s="47">
        <f>(D18-D27)/$B$3</f>
        <v>6552.566156250002</v>
      </c>
      <c r="E44" s="47">
        <f>(E18-E27)/$B$3</f>
        <v>6921.8595675000015</v>
      </c>
      <c r="F44" s="47">
        <f>(F18-F27)/$B$3</f>
        <v>7305.060971362502</v>
      </c>
      <c r="G44" s="47">
        <f>(G18-G27)/$B$3</f>
        <v>7701.655192376628</v>
      </c>
      <c r="H44" s="47"/>
    </row>
    <row r="45" spans="1:8" ht="15">
      <c r="A45" t="s">
        <v>51</v>
      </c>
      <c r="B45" s="50">
        <f>B5</f>
        <v>0.09</v>
      </c>
      <c r="C45" s="50">
        <f>(C44-B44)/B44</f>
        <v>0.012666590073529561</v>
      </c>
      <c r="D45" s="50">
        <f>(D44-C44)/C44</f>
        <v>0.057288504410471806</v>
      </c>
      <c r="E45" s="50">
        <f>(E44-D44)/D44</f>
        <v>0.05635859332725064</v>
      </c>
      <c r="F45" s="50">
        <f>(F44-E44)/E44</f>
        <v>0.05536104859187468</v>
      </c>
      <c r="G45" s="50">
        <f>(G44-F44)/F44</f>
        <v>0.054290336873143975</v>
      </c>
      <c r="H45" s="47"/>
    </row>
    <row r="46" spans="1:8" ht="15">
      <c r="A46" s="51"/>
      <c r="B46" s="18"/>
      <c r="C46" s="47"/>
      <c r="D46" s="47"/>
      <c r="E46" s="47"/>
      <c r="F46" s="47"/>
      <c r="G46" s="47"/>
      <c r="H46" s="47"/>
    </row>
    <row r="47" spans="1:8" ht="15">
      <c r="A47" t="s">
        <v>52</v>
      </c>
      <c r="B47" s="18">
        <f>B4</f>
        <v>6120</v>
      </c>
      <c r="C47" s="47">
        <f>(C18-C29)/$B$3</f>
        <v>6450.644531250001</v>
      </c>
      <c r="D47" s="47">
        <f>(D18-D29)/$B$3</f>
        <v>6905.691156250002</v>
      </c>
      <c r="E47" s="47">
        <f>(E18-E29)/$B$3</f>
        <v>7374.9845675000015</v>
      </c>
      <c r="F47" s="47">
        <f>(F18-F29)/$B$3</f>
        <v>7858.185971362503</v>
      </c>
      <c r="G47" s="47">
        <f>(G18-G29)/$B$3</f>
        <v>8354.78019237663</v>
      </c>
      <c r="H47" s="47"/>
    </row>
    <row r="48" spans="1:8" ht="15">
      <c r="A48" s="2" t="s">
        <v>53</v>
      </c>
      <c r="B48" s="52">
        <f>+B5</f>
        <v>0.09</v>
      </c>
      <c r="C48" s="52">
        <f>(C47-B47)/B47</f>
        <v>0.05402688419117662</v>
      </c>
      <c r="D48" s="52">
        <f>(D47-C47)/C47</f>
        <v>0.07054281518622485</v>
      </c>
      <c r="E48" s="52">
        <f>(E47-D47)/D47</f>
        <v>0.06795748617070216</v>
      </c>
      <c r="F48" s="52">
        <f>(F47-E47)/E47</f>
        <v>0.06551897152325818</v>
      </c>
      <c r="G48" s="52">
        <f>(G47-F47)/F47</f>
        <v>0.06319451115357402</v>
      </c>
      <c r="H48" s="47"/>
    </row>
    <row r="49" spans="1:8" ht="15">
      <c r="A49" s="51"/>
      <c r="B49" s="18"/>
      <c r="C49" s="47"/>
      <c r="D49" s="47"/>
      <c r="E49" s="47"/>
      <c r="F49" s="47"/>
      <c r="G49" s="47"/>
      <c r="H49" s="47"/>
    </row>
    <row r="50" spans="3:8" ht="15">
      <c r="C50" s="8"/>
      <c r="D50" s="8"/>
      <c r="E50" s="8"/>
      <c r="F50" s="8"/>
      <c r="G50" s="8"/>
      <c r="H50" s="8"/>
    </row>
  </sheetData>
  <sheetProtection/>
  <mergeCells count="1">
    <mergeCell ref="A1:H1"/>
  </mergeCells>
  <printOptions/>
  <pageMargins left="0.45" right="0.45" top="0.75" bottom="0.75" header="0.3" footer="0.3"/>
  <pageSetup fitToHeight="2" horizontalDpi="600" verticalDpi="600" orientation="landscape"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HealthEquity,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Sydney</dc:creator>
  <cp:keywords/>
  <dc:description/>
  <cp:lastModifiedBy>AJDONOVA</cp:lastModifiedBy>
  <cp:lastPrinted>2011-09-12T20:47:06Z</cp:lastPrinted>
  <dcterms:created xsi:type="dcterms:W3CDTF">2010-09-08T12:55:59Z</dcterms:created>
  <dcterms:modified xsi:type="dcterms:W3CDTF">2012-12-04T18:48:19Z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otes1">
    <vt:lpwstr>Updated 12/04</vt:lpwstr>
  </property>
  <property fmtid="{D5CDD505-2E9C-101B-9397-08002B2CF9AE}" pid="3" name="Stale document">
    <vt:lpwstr>active</vt:lpwstr>
  </property>
  <property fmtid="{D5CDD505-2E9C-101B-9397-08002B2CF9AE}" pid="4" name="ContentType">
    <vt:lpwstr>Document</vt:lpwstr>
  </property>
</Properties>
</file>